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375" activeTab="0"/>
  </bookViews>
  <sheets>
    <sheet name="RASCET" sheetId="1" r:id="rId1"/>
    <sheet name="BFK_1G" sheetId="2" r:id="rId2"/>
    <sheet name="BFK_2G" sheetId="3" r:id="rId3"/>
    <sheet name="BFK_1YS" sheetId="4" r:id="rId4"/>
  </sheets>
  <definedNames>
    <definedName name="_Regression_Int" localSheetId="1" hidden="1">1</definedName>
    <definedName name="_Regression_Int" localSheetId="3" hidden="1">1</definedName>
    <definedName name="_Regression_Int" localSheetId="2" hidden="1">1</definedName>
    <definedName name="_Regression_Int" localSheetId="0" hidden="1">1</definedName>
    <definedName name="_Regression_X" localSheetId="3" hidden="1">'BFK_1YS'!$E$207</definedName>
    <definedName name="_Regression_X" hidden="1">'BFK_2G'!$E$159</definedName>
    <definedName name="A_N2">'RASCET'!$D$166</definedName>
    <definedName name="A_O2">'RASCET'!$E$166</definedName>
    <definedName name="CHR">'BFK_1YS'!$J$10</definedName>
    <definedName name="I_N2">'RASCET'!$G$166</definedName>
    <definedName name="I_O2">'RASCET'!$H$166</definedName>
    <definedName name="ISM">'RASCET'!$I$166</definedName>
    <definedName name="ISM_">'RASCET'!$F$166</definedName>
    <definedName name="KS">'RASCET'!#REF!</definedName>
    <definedName name="MZLO">'BFK_1YS'!$K$10</definedName>
    <definedName name="QNP">'BFK_1YS'!$I$10</definedName>
    <definedName name="STI">'BFK_1YS'!$L$10</definedName>
    <definedName name="T">'RASCET'!$J$166</definedName>
    <definedName name="V_H2OO">'BFK_1YS'!$G$10</definedName>
    <definedName name="V_N2O">'BFK_1YS'!$F$10</definedName>
    <definedName name="V_RO2O">'BFK_1YS'!$E$10</definedName>
    <definedName name="VGO">'BFK_1YS'!$H$10</definedName>
    <definedName name="VVO">'BFK_1YS'!$D$10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<sst xmlns="http://schemas.openxmlformats.org/spreadsheetml/2006/main" count="7101" uniqueCount="1611">
  <si>
    <t>ie=ism*(1-(0.15+0.000415*ism^0.9)*a_H2O-(0.562-0.332*@Exp(-0.0068*ism))*a_CO2-(0.067-0.06465*@Exp(-0.01*ism)-8.813E-05*ism^0.7)*a_O2-(0.000581+2.41E-06*ism^0.7)*dZ)</t>
  </si>
  <si>
    <t>t=3.0533*ie^1.02-0.0013494*ie^2.04+1.05918E-06*ie^3.06-3.3781E-10*ie^4.08</t>
  </si>
  <si>
    <t>ie=ism*(1-(0.15+0.000415*ie^0.9)*a_H2O-(0.562-0.332*@Exp(-0.0068*ie))*a_CO2-(0.067-0.06465*@Exp(-0.01*ie)-8.813E-05*ie^0.7)*a_O2-(0.000581+2.41E-06*ie^0.7)*(1-0.4*a_H2O-1*a_CO2)*dZ)</t>
  </si>
  <si>
    <t>** Рекурсивн расчет, где ism! - известная или заданная энтальпия смеси; ism - энтальпия, расчитанная (как сумма энтальпий компонентов смеси) по скользящему зн-ю t; 2.5 - коэфф при di (меньше 2.5 - сходиться будет дольше, больше - может пойти вразнос)</t>
  </si>
  <si>
    <t>* a - доля; i - энтальпия; t - рекурсивное значение t в оС. Входные данные a_O2 и ism!, остальное - результаты расчетов. После ввода данных надо несколько раз нажать F9.</t>
  </si>
  <si>
    <t>Введи данные в выделенные ячейки, для пересчета нажми F9 несколько раз</t>
  </si>
  <si>
    <t>(входные значения выделены синим цветом)</t>
  </si>
  <si>
    <t xml:space="preserve">Введи значения в выделенные синим цветом ячейки и жми F9! </t>
  </si>
  <si>
    <t>Внимание! Результаты расчетов во всех фрагментах выделены зеленым цветом</t>
  </si>
  <si>
    <t>Фрагмент "ступень ПП" с переключателем 1\2 прямоток\противоток:</t>
  </si>
  <si>
    <t>Входные параметры пара:</t>
  </si>
  <si>
    <t xml:space="preserve">    ***  При KL=1 включается прямоток, при KL=2 (или KL не =1) включается противоток.</t>
  </si>
  <si>
    <t>KL</t>
  </si>
  <si>
    <t>Входные параметры дым газа:</t>
  </si>
  <si>
    <t>Конец фрагмента "ступень ПП" с переключателем прямоток\противоток</t>
  </si>
  <si>
    <t>Фрагмент участка ВЭ:</t>
  </si>
  <si>
    <t xml:space="preserve">  Параметры воды после теплопередающего участка:</t>
  </si>
  <si>
    <t>Фрагмент участка ВП:</t>
  </si>
  <si>
    <t xml:space="preserve">  Параметры воздуха после теплопередающего участка:</t>
  </si>
  <si>
    <t xml:space="preserve">   *  Hа базе файла rascet.wq1</t>
  </si>
  <si>
    <t>*? t=0..2500 oC. Эти данные со стр.14 норм метода за 1957г совершенно не отвечают ф-ле смешения Csv-С_H2O -см файл bfk_1g.wq1</t>
  </si>
  <si>
    <t>tnas=193.897+1.6984*P-0.0066353*P^2+1.21825E-05*P^3</t>
  </si>
  <si>
    <t>m=10^-6*(2.097+5.3071E-05*t^1.6-3266.9*P^-2+0.08514*t^1.6*P^-2)</t>
  </si>
  <si>
    <t>h=10^-2*(4.2263+1.3888E-08*t^3+0.0011975*P^1.5-2.7571E-12*t^3*P^1.5)</t>
  </si>
  <si>
    <t>Pr=0.9022+5.4997E+08*t^-4-5.7702E-05*P^1.3+11671265*t^-4*P^1.3</t>
  </si>
  <si>
    <t>t=3074.3-3.1077*P-2.3864*10^7*i^-1.3+22437.3*P*i^-1.3+0.0041697*P^2+4.8476*10^10*i^-2.6-177649*P^2*i^-2.6</t>
  </si>
  <si>
    <t xml:space="preserve"> * Qn в ккал/нм3, Y в кг/нм3</t>
  </si>
  <si>
    <t xml:space="preserve"> * Vo - теоретич (при а=1) V воздуха; Vro2 - CO2 и SO2; Vog - продуктов сгорания (Vg - полный объем продуктов сгорания) </t>
  </si>
  <si>
    <t xml:space="preserve"> * VoH2O посчитан без учета влаги в газообразном топливе</t>
  </si>
  <si>
    <t>* Ф-ла (6-01); T", Ta - абсолютная температура и абс теоретич темп-ра на выходе из топки oK; at - степень черноты топки.</t>
  </si>
  <si>
    <t xml:space="preserve"> * B - Действительный расход топлива, поступающего в котельный агрегат.</t>
  </si>
  <si>
    <t xml:space="preserve"> * Теоретич теплосод-е продуктов сгорания Ia равно полезному тепловыделениюв топке (все внесенное и выделившееся тепло - без химнедожогов и т.п.), отнесенному к 1кг тв.топлива или 1нм3 сухого газа</t>
  </si>
  <si>
    <t xml:space="preserve"> * Ошибка s в 10% сост. ~1% в теплопередаче</t>
  </si>
  <si>
    <t>* То же, что для газов, плюс 7*m*(dn*T")^-(2/3)</t>
  </si>
  <si>
    <t>* Для светящегося пламени величина k равна коэф ослабления лучей сажистыми частицами</t>
  </si>
  <si>
    <t>**Для топок со светящимся пламенем (при сжиг жид топлив и тв топл, богатых летучими) при s&gt;2.5м принимается at=1 и k определять не нужно. Так и сделано в норм примере (тв т с вых летуч 30%) для топки, но для фестона и далее учитывается не сажа, а зола!?</t>
  </si>
  <si>
    <t xml:space="preserve">  Пар и вода, а такжеи дым газ в ТВП проходят внутри труб (продоль-</t>
  </si>
  <si>
    <t>ное омывание). Снаружи труб только поперечное омывание, кроме УСК.</t>
  </si>
  <si>
    <t xml:space="preserve"> * При числе рядов Nr=1 используется ф-ла для шахматных пучков</t>
  </si>
  <si>
    <t>** Видимо следует читать "При охлаждении газов и воздуха" - сравни с номограммой IV стр 208-209. Уточнить!..</t>
  </si>
  <si>
    <t>** Видимо следует читать "При нагревании газов и воздуха" - сравни с номограммой IV стр 208-209. Уточнить!..</t>
  </si>
  <si>
    <t>* Стр. 41.</t>
  </si>
  <si>
    <t>* Здесь d в м - как в формуле (на номограмме в мм)</t>
  </si>
  <si>
    <t>* Стр. 207, номограмма III</t>
  </si>
  <si>
    <t>* s1d=s1/d; s2d=s2/d</t>
  </si>
  <si>
    <t>* Стр. 208-209, номограмма IV</t>
  </si>
  <si>
    <t>* Здесь de в м - как в формуле (на номограмме в мм)</t>
  </si>
  <si>
    <t>* Для w&lt;=15 м/сек. При сжигании смеси коэф выбирается по более загрязняющему топливу</t>
  </si>
  <si>
    <t>* Стр. 218-219</t>
  </si>
  <si>
    <t xml:space="preserve">* Cd - поправка на диаметр труб; eo - исходное загрязнение; pe - поправка к eo, pe=0.002 при t&gt;400 oC (П/П, КПучки, втор ступени Эк) </t>
  </si>
  <si>
    <t>* Здесь d в м (на рис. в мм)</t>
  </si>
  <si>
    <t>* исходное загрязнение в  м2*час*град/ккал:</t>
  </si>
  <si>
    <t>* s2d=s2/d</t>
  </si>
  <si>
    <t xml:space="preserve">  * Ф-ла (7-41). ast - степень черноты лучевоспринимающих стенок (для котлов ast=0.82); Tst - абс температура стенок; as - степень черноты слоя запыленного и незапыленного потока газов. Определение tst см выше.</t>
  </si>
  <si>
    <t xml:space="preserve">  *  St=4 для запыленного потока, т.е. при учете излучения золы. Для газов и жидких топлив поток считается незапыленным и St=3.6</t>
  </si>
  <si>
    <t xml:space="preserve">   * Если ssd=(s1+s2)/d&lt;=7, то s=(1.87*ssd-4.1)*d; если 7&lt;ssd&lt;13, то s=2.82*ssd-10.6)*d. Кроме того учитываются излучения свободных (не входящих в пучки) объемов. Подробности см. ниже или в норм методе за 1957г.</t>
  </si>
  <si>
    <t xml:space="preserve">  * Как и для топки (см.выше)</t>
  </si>
  <si>
    <t xml:space="preserve">   для незапыленного потока (* Для продуктов сгорания газообразных и жидких топлив):</t>
  </si>
  <si>
    <t xml:space="preserve">   для запыленного потока:</t>
  </si>
  <si>
    <t xml:space="preserve">  * См подраздел ДОПОЛHЕHИЯ К ТЕПЛООБМЕHУ В ТОПКЕ (Hl - лучевоспр поверхность, х - угловой коэфф (кол-во воспринятого излучением тепла, отнесенное к теплу, которое было бы воспринято непрерывной поверхностью с той же температурой)</t>
  </si>
  <si>
    <t xml:space="preserve">  * Данное пособие (тепловой расчет) составлено с учетом последних на 1980г разработок.</t>
  </si>
  <si>
    <t xml:space="preserve">  * s1 и s2 -поперечный и продольный шаги труб, м; d -их диаметр, м.</t>
  </si>
  <si>
    <t xml:space="preserve">  * lp, lob -глубина (по ходу газов) рассчитываемого пучка и газового объема, м; Tk -температура в оК газов в объеме камеры (перед пакетом).</t>
  </si>
  <si>
    <t>* Cfv = Cf для воздуха</t>
  </si>
  <si>
    <t>* Cfg = Cf для газа</t>
  </si>
  <si>
    <t>Определение Cs:</t>
  </si>
  <si>
    <t xml:space="preserve">  * s1d=s1/d; s2d=s2/d</t>
  </si>
  <si>
    <t xml:space="preserve"> При поперечном омывании шахматных пучков:</t>
  </si>
  <si>
    <t xml:space="preserve">  * tv, tst - температура воздуха и стенки в oC</t>
  </si>
  <si>
    <t xml:space="preserve">  * L, de - длина трубы и эквивалентный диаметр</t>
  </si>
  <si>
    <t>* w - cкорость газов в м/сек</t>
  </si>
  <si>
    <t xml:space="preserve">  ** Формула может работать (приближенно) только в пределах w=2..18 м/сек, s2d=1..2 м/м; экстраполяция за эти пределы не проходит (полином ее искажает).</t>
  </si>
  <si>
    <t xml:space="preserve">  !* eo=0.01*B*@Exp(k*w), где B и k ф-ции от d2s. Ф-ла работает корректно и допускает любое экстаполирование</t>
  </si>
  <si>
    <t xml:space="preserve"> см в файле RASCET.wq1</t>
  </si>
  <si>
    <t>ПРИМЕРHЫЙ ТЕПЛОВОЙ РАСЧЕТ КОТЛОАГРЕГАТА и варианты расчета</t>
  </si>
  <si>
    <t xml:space="preserve"> Состав газообразного топлива задается в % по объему, и все рас-</t>
  </si>
  <si>
    <t>четы относятся к нормальному метру кубическому сухого газа (при</t>
  </si>
  <si>
    <t>760 мм рт ст и 0 оС). Теплота сгорания подсчитывается по ф-ле сме-</t>
  </si>
  <si>
    <t>шения согласно таблице.</t>
  </si>
  <si>
    <t xml:space="preserve"> Влагосодержание природ газов может сильно колебаться, но при</t>
  </si>
  <si>
    <t xml:space="preserve"> Влагосодержание насыщенного газа в г на нм3 сухого газа:</t>
  </si>
  <si>
    <t>Средние теплоемкости от 0 до t оС, ккал/(нм3*град):</t>
  </si>
  <si>
    <t>Теплоемкость рабочей массы топлива:</t>
  </si>
  <si>
    <t>Теплоемкость мазута:</t>
  </si>
  <si>
    <t>Переход от энтальпии смеси к t oC:</t>
  </si>
  <si>
    <t xml:space="preserve">    * tсухого воздуха в зависимости от его энтальпии -для расчета воздухоподогревателя (диапазон t=0..500 оС; при tsv=0 принимается isv=0)</t>
  </si>
  <si>
    <t>Действующий рекурсивный фрагмент: t=t+2.5*(ism!-ism)</t>
  </si>
  <si>
    <t>a_N2</t>
  </si>
  <si>
    <t>i_N2</t>
  </si>
  <si>
    <t xml:space="preserve">  Для продуктов сгорания саратовского газа в сухом воздухе:</t>
  </si>
  <si>
    <t>t=-17.5+3.51*ig+38.864*av^-0.5-0.30038*ig*av^-0.5+0.0044766*ig^2-23.072/av-5.8066E-05*ig^2/av-0.010324*ig^1.9</t>
  </si>
  <si>
    <t xml:space="preserve">  Для продуктов сгорания саратовского газа во влажном воздухе:</t>
  </si>
  <si>
    <t>t=-17.5+3.51*ig+38.864*av^-0.5-0.30038*ig*av^-0.5+0.0044766*ig^2-23.072/av-5.8066E-05*ig^2/av-0.010324*ig^1.9+@if(ig&lt;200,1.6-1.87*ig^0.3+0.2012*av-21.75*r_H2Ov+0.302*ig^0.6,-0.19-0.0006295*ig+0.7193*av^-0.4+41.38*r_H2Ov-0.4254*ig*av^-0.4*r_H2Ov)</t>
  </si>
  <si>
    <t>yv=10^-6*(5.3+0.02297*t-5.1285E-08*t^2)^1.55</t>
  </si>
  <si>
    <t>ydg=10^-6*(4.946+0.022932*t+2.0243E-08*t^2)^1.55</t>
  </si>
  <si>
    <t>hv=10^-2*(2.077+0.0075206*t-4.9483E-06*t^2+2.9184E-09*t^3-6.2615E-13*t^4)</t>
  </si>
  <si>
    <t>hdg=10^-2*(1.96+0.007372*t-3.5797E-08*t^2-5.117E-11*t^3+8.3849E-14*t^4)</t>
  </si>
  <si>
    <t>Pr=0.7779-0.0017444*(t+100)^0.8+8.2554E-06*(t+100)^1.6-2.2403E-08*(t+100)^2.4+2.1324E-11*(t+100)^3.2</t>
  </si>
  <si>
    <t>Prv=~0.71</t>
  </si>
  <si>
    <t>ysg=10^-6*(13.78+0.14085*t^0.8+0.0025047*t^1.6)</t>
  </si>
  <si>
    <t>hsg=10^-2*(2.487+0.011246*t+1.4709E-06*t^2)</t>
  </si>
  <si>
    <t>Prsg=0.73507-0.0038235*t^0.6+0.00027326*t^1.2-2.6067E-06*t^1.8</t>
  </si>
  <si>
    <t>r_H2O</t>
  </si>
  <si>
    <t>Mpr</t>
  </si>
  <si>
    <t>Для котлов под давлением:   yp=y/p м2/сек</t>
  </si>
  <si>
    <t>Коэф динамич вязкости m, теплопров h и Pr пара на линии нас-я:</t>
  </si>
  <si>
    <t>m*10^6</t>
  </si>
  <si>
    <t>h*10^2</t>
  </si>
  <si>
    <t>Pr</t>
  </si>
  <si>
    <t>P</t>
  </si>
  <si>
    <t>v"</t>
  </si>
  <si>
    <t>i"</t>
  </si>
  <si>
    <t>r</t>
  </si>
  <si>
    <t>i'</t>
  </si>
  <si>
    <t>Коэф динамич вязкости m, теплопров h и Pr воды:</t>
  </si>
  <si>
    <t>Коэф динамич вязкости m, теплопров h и Pr пара:</t>
  </si>
  <si>
    <t>Удельный объем и энтальпия пара (по "ВТИ"):</t>
  </si>
  <si>
    <t>v=-0.019403+4.8514E-05*t+1.6275/P+0.0041143*t/P-3.2315E-08*t^2-6.4108*P^-2+1.9573E-05*t^2*P^-2</t>
  </si>
  <si>
    <t>i=-668.635+2.7983*t+6079.63*P^-0.3-7.82279*t*P^-0.3-0.000981156*t^2-6561.11*P^-0.6+0.0120829*t^2*P^-0.6</t>
  </si>
  <si>
    <t>t=15400.02-33659.2*P^-0.1-20.585*i+32.78166*P^-0.1*i+14168.16*P^-0.2+0.00648283*i^2-0.0139*P^-0.2*i^2</t>
  </si>
  <si>
    <t xml:space="preserve">   *  Стр. 163</t>
  </si>
  <si>
    <t>CO2</t>
  </si>
  <si>
    <t xml:space="preserve">   *  Стр. 169. Объемы воздуха и продуктов сгорания Саратовского газа при избытке воздуха а=1 в нм3 на нм3 сухого газа</t>
  </si>
  <si>
    <t>Vo</t>
  </si>
  <si>
    <t>T"/Ta=Bo^0.6/(Ma*at^0.6+Bo^0.6)</t>
  </si>
  <si>
    <t xml:space="preserve">   *  0.445 - примерное среднее значение; см. также дополнения внизу этого раздела</t>
  </si>
  <si>
    <t>Bo=f*Br*Csr/(4.9E-08*j*Hl*Ta^3)</t>
  </si>
  <si>
    <t xml:space="preserve">   *  В кг/час или нм3/час</t>
  </si>
  <si>
    <t xml:space="preserve">   *  Средняя теплоемкость продуктов сгорания, отнесенная к 1кг тв.топлива или 1нм3 сухого газа</t>
  </si>
  <si>
    <t>at=0.82*af/(af+(1-af)*u*j)</t>
  </si>
  <si>
    <t xml:space="preserve">   *  as - степень черноты топочной среды; b - коэф, зависящий от вида пламени: несветящееся (для газов) - b=1; светящееся жидких топлив - b=0.75; светящееся и полусветящееся твердых топлив - b=0.65</t>
  </si>
  <si>
    <t xml:space="preserve">   *   p - давление (обычно p=1); s - эффективная толщина излучающего слоя в м; ks - коэф ослабления лучей топочной средой</t>
  </si>
  <si>
    <t xml:space="preserve">   *  Vs - объем излучающего слоя в м3; Fst - площадь ограждающих его поверхностей в м2.</t>
  </si>
  <si>
    <t xml:space="preserve">  для газов (несветящееся пламя):</t>
  </si>
  <si>
    <t>ks=kg*rn=(0.8+1.6*r_H2O)*(pn*s)^-0.5*(1-0.38*T"/1000)*rn</t>
  </si>
  <si>
    <t xml:space="preserve">   *  rn - суммарная объемная доля трехатомных газов</t>
  </si>
  <si>
    <t xml:space="preserve">   *  pn - суммарное парциальное давление трехатомных газов, ата.</t>
  </si>
  <si>
    <t>для полусветящегося пламени:</t>
  </si>
  <si>
    <t>ks=(0.8+1.6*r_H2O)*(pn*s)^-0.5*(1-0.38*T"/1000)*rn+7*m*(dn*T")^-(2/3)</t>
  </si>
  <si>
    <t>ks=kg*rn+7*m*(dn*T")^-(2/3)</t>
  </si>
  <si>
    <t>ks=kg*rn+kn*m</t>
  </si>
  <si>
    <t xml:space="preserve">   *  dn - сред диаметр частиц золы в мкн; dn при сжигании углей, размолотых в барабанно-шаровых, средне или быстроходных и в шахтных мельницах, составляет 13, 16 и 20 мкн</t>
  </si>
  <si>
    <t>для светящегося пламени:</t>
  </si>
  <si>
    <t>ks=1.6*T"/1000-0.5</t>
  </si>
  <si>
    <t>ДОПОЛHЕHИЯ К ТЕПЛООБМЕHУ В ТОПКЕ</t>
  </si>
  <si>
    <t>T"/Ta=(FX*Bo)^0.6/(Ma*at^0.6+(FX*Bo)^0.6)</t>
  </si>
  <si>
    <t>FX=1.3*a^2/(a^2+2*(a-1))</t>
  </si>
  <si>
    <t>Ma=1/(0.7+2*10^-6*B*Qn/Fst)</t>
  </si>
  <si>
    <t>Ma=~0.45-0.05*Угол30</t>
  </si>
  <si>
    <t>q=ky*Br*Ql/Hl</t>
  </si>
  <si>
    <t>u=Hl/Fst</t>
  </si>
  <si>
    <t>Hl=Sum(Fe*x)</t>
  </si>
  <si>
    <t xml:space="preserve"> Для одноряд гладкотруб экрана с уч изл-я обмуровки:</t>
  </si>
  <si>
    <t>sd</t>
  </si>
  <si>
    <t xml:space="preserve">  Для 1-го ряда прилегающих к топке пучков (фестона и т.п.):</t>
  </si>
  <si>
    <t xml:space="preserve"> Для всех рядов пучка (для расчета собственно пучка):</t>
  </si>
  <si>
    <t xml:space="preserve">  где xi одного ряда пучков (фестона и т.п.):</t>
  </si>
  <si>
    <t>xi</t>
  </si>
  <si>
    <t>например, x фестона по норм примеру:</t>
  </si>
  <si>
    <t>xf=1-(1-0.29)*(1-0.29)*(1-0.29)*(1-0.29)=0.746</t>
  </si>
  <si>
    <t>Q=k*H*dt/Br</t>
  </si>
  <si>
    <t>tyw=ts+0.5*(iw-is)</t>
  </si>
  <si>
    <t>k=1/(1/a1s+e+1/a2s)</t>
  </si>
  <si>
    <t>или: k=ee*a1s*a2s/(a1s+a2s)</t>
  </si>
  <si>
    <t>a1s=wn*ak+al</t>
  </si>
  <si>
    <t>a2s=ak'</t>
  </si>
  <si>
    <t xml:space="preserve">  При поперечном омывании коридорных пучков (Nr&gt;1):</t>
  </si>
  <si>
    <t>ak=0.177*Cz*h/d*(w*d/y)^0.64</t>
  </si>
  <si>
    <t>Cz=1.00059+0.22222*Nr^-1.2-7.0707*Nr^-2.4+26.592*Nr^-3.6-29.828*Nr^-4.8</t>
  </si>
  <si>
    <t xml:space="preserve">  При поперечном омывании шахматных пучков:</t>
  </si>
  <si>
    <t>ak=0.27*Cz*h/d*(w*d/y)^0.6</t>
  </si>
  <si>
    <t>ak=0.295*Cz*h/d*(w*d/y)^0.6*Msd</t>
  </si>
  <si>
    <t xml:space="preserve">   *  s1/d - средний относительный поперечный шаг труб; s2/d - средний относительный продольный шаг труб; s2'/d - средний относительный диагональный шаг труб.</t>
  </si>
  <si>
    <t>Cz=1.0101+0.26308*Nr^-0.7-3.0519*Nr^-1.4+4.50125*Nr^-2.1-2.1226*Nr^-2.8</t>
  </si>
  <si>
    <t xml:space="preserve">  Обобщенно при поперечном омывании любых пучков:</t>
  </si>
  <si>
    <t>ak=Str*h*(w/y)^St</t>
  </si>
  <si>
    <t xml:space="preserve">  При продольном омывании поверх нагрева:</t>
  </si>
  <si>
    <t>ak=0.023*h/de*(w*de/y)^0.8*Pr^0.4*Ct*Cl</t>
  </si>
  <si>
    <t>ak=Str*h*(w/y)^0.8*Pr^0.4*Ct</t>
  </si>
  <si>
    <t xml:space="preserve">   При нагревании газов:</t>
  </si>
  <si>
    <t>Ct=1.0641+0.098418*@Exp(-0.005*t)+4.4446E-08*tst^2-3.32955E-06*@Exp(-0.005*t)*tst^2-0.39365*@Exp(-0.01*t)-1.4323E-13*tst^4+7.07765E-12*@Exp(-0.01*t)*tst^4+0.017279/(t+0.01)*tst^-0.5</t>
  </si>
  <si>
    <t xml:space="preserve">  Для воздухоподогревателя:</t>
  </si>
  <si>
    <t>tst=(tгаза+tвоздуха)/2   (уточнить)</t>
  </si>
  <si>
    <t xml:space="preserve">  Более общая ф-ла:</t>
  </si>
  <si>
    <t>tst=tsr+(e+1/a2s)*Q*Br/H</t>
  </si>
  <si>
    <t xml:space="preserve">  При продольном омывании поверх нагрева паром:</t>
  </si>
  <si>
    <t>ak=0.023*h/de*(w*de/y)^0.8*Pr^0.4</t>
  </si>
  <si>
    <t>ak=(0.023*h/y^0.8*Pr^0.4)/de^0.2*w^0.8</t>
  </si>
  <si>
    <t>ak=(0.023*h/(9.81*m*v)^0.8*Pr^0.4)/de^0.2*w^0.8</t>
  </si>
  <si>
    <t>A=-3.75+0.05776*t+0.2713*P^1.4-0.00031165*t*P^1.4</t>
  </si>
  <si>
    <t>ak=(-3.75+0.05776*t+0.2713*P^1.4-0.00031165*t*P^1.4)/de^0.2*w^0.8</t>
  </si>
  <si>
    <t>al=4.9E-08*(ast+1)/2*as*T^3*(1-(Tst/T)^St)/(1-Tst/T)</t>
  </si>
  <si>
    <t xml:space="preserve">   *   p - давление (обычно p=1); s - эффективная толщина излучающего слоя в м; ks - коэф ослабления лучей излучающей средой. Сравни с топкой. </t>
  </si>
  <si>
    <t xml:space="preserve">   *  Vs - объем излучающего слоя в м3; Fst - площадь ограждающих его поверхностей в м2. * Ошибка s в 10% сост. ~1% в теплопередаче для ПП и ~0.35% для ВЭ.</t>
  </si>
  <si>
    <t>ks=kg*rn</t>
  </si>
  <si>
    <t>По учету Hl и x см в разделе топки</t>
  </si>
  <si>
    <t>s=0.9*(4*s1*s2/(3.14*d^2)-1)*d</t>
  </si>
  <si>
    <t xml:space="preserve">  Излучение газовых объемов можно приближенно учесть:</t>
  </si>
  <si>
    <t>al'=al*(1+A*(Tk/100)^0.25*(lp/lob)^0.07)</t>
  </si>
  <si>
    <t xml:space="preserve">  Теплота изл-я газ объема на предшествующий ему пучок незначи- </t>
  </si>
  <si>
    <t>тельна. Также не учитывают изл-е на ТВП и низкотемп. ступень ВЭ.</t>
  </si>
  <si>
    <t>Если ssd=(s1+s2)/d&lt;=7, то s=(1.87*ssd-4.1)*d</t>
  </si>
  <si>
    <t>Если 7&lt;ssd&lt;13, то s=2.82*ssd-10.6)*d</t>
  </si>
  <si>
    <t xml:space="preserve">  Излучение газовых объемов можно учесть:</t>
  </si>
  <si>
    <t>s'=s*(lp+A*lob)/lp</t>
  </si>
  <si>
    <t>ak=Cz*Cf*an</t>
  </si>
  <si>
    <t>Cf</t>
  </si>
  <si>
    <t>Cf=0.3838+13.5164*(t+100)^-0.5-56.545/(t+100)</t>
  </si>
  <si>
    <t>Cf=1.1077-0.002944*t^0.7+0.67936*r_H2O+0.0050854*t^0.7*r_H2O+8.9737E-06*t^1.4-2.4659*r_H2O^2-4.6377E-05*t^1.4*r_H2O^2+23.168*t^-0.1*r_H2O^4</t>
  </si>
  <si>
    <t>w</t>
  </si>
  <si>
    <t>an=4.24/d*(w*d)^0.64</t>
  </si>
  <si>
    <t xml:space="preserve"> ИТАК, при поперечном омывании коридорных пучков (Nr&gt;1):</t>
  </si>
  <si>
    <t>Cfv=0.3838+13.5164*(t+100)^-0.5-56.545/(t+100)</t>
  </si>
  <si>
    <t>Cfg=1.1077-0.002944*t^0.7+0.67936*r_H2O+0.0050854*t^0.7*r_H2O+8.9737E-06*t^1.4-2.4659*r_H2O^2-4.6377E-05*t^1.4*r_H2O^2+23.168*t^-0.1*r_H2O^4</t>
  </si>
  <si>
    <t>ak=Cz*Cf*Cs*an</t>
  </si>
  <si>
    <t>Cf=2.2357-0.72908*(t+100)^0.1-0.0082964*(t+100)^0.2</t>
  </si>
  <si>
    <t>Cf=1.723-0.00072545*t-2.1255*r_H2O^0.1+0.00081189*t*r_H2O^0.1+1.5846E-07*t^2+1.5631*r_H2O^0.2-1.6954E-07*t^2*r_H2O^0.2+257255*t^-0.8*r_H2O^10</t>
  </si>
  <si>
    <t>s1d</t>
  </si>
  <si>
    <t>Cs=1.7595+0.28035/s1d-0.47676/s2d+0.938/s1d/s2d-1.3253*s1d^-2+0.15628*s2d^-2+0.10158*s1d^-2*s2d^-2-0.5057*s1d^-0.4*s2d^0.6+0.0017279/s1d*s2d^3</t>
  </si>
  <si>
    <t>an=4.53/d*(w*d)^0.6</t>
  </si>
  <si>
    <t xml:space="preserve"> ИТАК, при поперечном омывании шахматных пучков:</t>
  </si>
  <si>
    <t>Cfv=2.2357-0.72908*(t+100)^0.1-0.0082964*(t+100)^0.2</t>
  </si>
  <si>
    <t>Cfg=1.723-0.00072545*t-2.1255*r_H2O^0.1+0.00081189*t*r_H2O^0.1+1.5846E-07*t^2+1.5631*r_H2O^0.2-1.6954E-07*t^2*r_H2O^0.2+257255*t^-0.8*r_H2O^10</t>
  </si>
  <si>
    <t xml:space="preserve">   При продольном омывании поверх нагрева:</t>
  </si>
  <si>
    <t xml:space="preserve"> при охлаждении дымовых газов и воздуха:</t>
  </si>
  <si>
    <t>ak=Cf*Cl*an</t>
  </si>
  <si>
    <t xml:space="preserve"> при нагревании воздуха:</t>
  </si>
  <si>
    <t>ak=Cf'*Cl*an</t>
  </si>
  <si>
    <t>Cl=0.8326+0.80812*(L/de+1.2)^-0.4 или 1.0</t>
  </si>
  <si>
    <t>Cf=0.1909+32.6105*(t+100)^-0.6-190.456*(t+100)^-1.2</t>
  </si>
  <si>
    <t>Cf=1.6256-0.045133*t^0.5+0.4512*r_H2O+0.093678*t^0.5*r_H2O+0.00045725*t+1.5688*r_H2O^2-0.12748*t^0.5*r_H2O^1.2</t>
  </si>
  <si>
    <t>Cf'=1.706-0.058086*t^0.5-0.009009*tst^0.8-0.00129315*t^0.5*tst^0.8-0.0035079*t+2.091E-05*tst^1.6+0.0076874*t^0.6*tst^0.5</t>
  </si>
  <si>
    <t>an=2.38/de*(w*de)^0.8</t>
  </si>
  <si>
    <t xml:space="preserve">   ИТАК, при продольном омывании поверх нагрева:</t>
  </si>
  <si>
    <t>Cfv=0.1909+32.6105*(t+100)^-0.6-190.456*(t+100)^-1.2</t>
  </si>
  <si>
    <t>Cfg=1.6256-0.045133*t^0.5+0.4512*r_H2O+0.093678*t^0.5*r_H2O+0.00045725*t+1.5688*r_H2O^2-0.12748*t^0.5*r_H2O^1.2</t>
  </si>
  <si>
    <t>Cf'=1.706-0.058086*tv^0.5-0.009009*tst^0.8-0.00129315*tv^0.5*tst^0.8-0.0035079*tv+2.091E-05*tst^1.6+0.0076874*tv^0.6*tst^0.5</t>
  </si>
  <si>
    <t xml:space="preserve"> Зн-я коэф загрязнения e, м2*час*град/ккал:</t>
  </si>
  <si>
    <t xml:space="preserve">   *  КПу - котельные пучки; П/П - перегреватели; ГлЭк - гладкотрубные экономайзеры; ЧугЭк - чугунные экономайзеры</t>
  </si>
  <si>
    <t>Мазут</t>
  </si>
  <si>
    <t>Пр газ</t>
  </si>
  <si>
    <t>e=Cd*eo+pe</t>
  </si>
  <si>
    <t>Cd</t>
  </si>
  <si>
    <t>Cd=2.875-3.8145*@Exp(-19*d)</t>
  </si>
  <si>
    <t xml:space="preserve">  для коридорных пучков:</t>
  </si>
  <si>
    <t>eo</t>
  </si>
  <si>
    <t>eo=0.034067*@Exp(-0.18*w)</t>
  </si>
  <si>
    <t xml:space="preserve">  для шахматных пучков:</t>
  </si>
  <si>
    <t>eo=0.01*(-22.545-1.929*w^-0.4+55.65*s2d^-0.2+10.807*w^-0.4*s2d^-0.2-4.4474*w^-0.8-37.24*s2d^-0.4-0.04787*w^-0.8*s2d^-0.4+0.4256*w^0.5*s2d^-1.8)</t>
  </si>
  <si>
    <t>eo=0.001*@IF(s2d&lt;=1.4,1.96282-1.46585*s2d^-0.5+0.731172/s2d,1.25418-0.00201094*(s2d-1)^-1.5)*@Exp(-(0.12+0.2203*s2d^-4)*w)</t>
  </si>
  <si>
    <t xml:space="preserve">    Информация Чернышова В.И. по части рец-и и впрысков и др.</t>
  </si>
  <si>
    <t xml:space="preserve">  Hа рецирк газов может идти ~15%. Hа впрыск подается до 10% от</t>
  </si>
  <si>
    <t>Dnom. Место отбора пара на впрыск - барабан котла, сюда же возвра-</t>
  </si>
  <si>
    <t xml:space="preserve">щается перелив циркулирующего к-та впрыска. Температуру впрыска </t>
  </si>
  <si>
    <t>можно принять ~на 10 oC ниже tнасыщения, типичное место впрыска -</t>
  </si>
  <si>
    <t xml:space="preserve">вход 2ст ПП. Конденсационная уст-ка впрыска распологается перед </t>
  </si>
  <si>
    <t>ВЭ по ходу пит воды.</t>
  </si>
  <si>
    <t xml:space="preserve">  (ПРИМЕЧАHИЕ: при таких соотношениях и рецирк. к-та до 15% от</t>
  </si>
  <si>
    <t>Dnom получается огромный темп напор на конд уст-ке -до 100 оС,</t>
  </si>
  <si>
    <t>но Чернышов настаивает, что по опыту tвпрыска близка к tнасыщения)</t>
  </si>
  <si>
    <t xml:space="preserve">  Если имеется поверхностный охладитель, то через него проходит</t>
  </si>
  <si>
    <t>весь насыщенный пар из барабана котла, затем влажный пар посту-</t>
  </si>
  <si>
    <t xml:space="preserve">пает в ПП. По водяной стороне пов. охладитель расположен за узлом </t>
  </si>
  <si>
    <t>питания перед ВЭ котла. Часть пит. воды из узла питания байпаси-</t>
  </si>
  <si>
    <t>руется на охладитель и поступает в ВЭ. Тем-ра пит. воды после ох-</t>
  </si>
  <si>
    <t>дителя видимо близка к tнасыщения в барабане: tpv'=tnas-dt (dt -</t>
  </si>
  <si>
    <t>температурный напор).</t>
  </si>
  <si>
    <t xml:space="preserve">  Температура воздуха после ВП (перед топкой) 300-350 оС, на ре-</t>
  </si>
  <si>
    <t>циркуляцию в топку отбирается газ с t=400-450 оС. Холодный воздух</t>
  </si>
  <si>
    <t xml:space="preserve">летом отбирают из верхней части котельной, зимой - снаружи, чтобы </t>
  </si>
  <si>
    <t>не создавать в помещении сквозняков. Присосы воздуха могут иметь</t>
  </si>
  <si>
    <t>tвоздуха в котельной ~30 оС, однако вблизи мест присоса он, види-</t>
  </si>
  <si>
    <t>мо, может нагреваться и до существенно больших значений.</t>
  </si>
  <si>
    <t xml:space="preserve">  Рабочая температура металла экр труб ~370-380 оС; для стали 20</t>
  </si>
  <si>
    <t>допусткается tst до 420 оС.</t>
  </si>
  <si>
    <t xml:space="preserve">  Дымовые газы в ТВП проходят внутри труб параллельно через каж-</t>
  </si>
  <si>
    <t>дый куб. Если, скажем, отглушается один из шести кубов, то проход-</t>
  </si>
  <si>
    <t xml:space="preserve">ное сечение для дым. газов сокрощается до 5/6 от первоначального, </t>
  </si>
  <si>
    <t>а для воздуха, проходящего в межтрубном пространстве, проходное</t>
  </si>
  <si>
    <t xml:space="preserve">сечение сохраняется -ситуация когда куб вообще выбрасывается из </t>
  </si>
  <si>
    <t xml:space="preserve">котла не является типичной. Поверхность теплопередачи при этом </t>
  </si>
  <si>
    <t xml:space="preserve">сокращается и для воздуха и для газа. Кубы обычно распологаются </t>
  </si>
  <si>
    <t>по два в три параллельных по воздуху ряда, поэтому когда отглуша-</t>
  </si>
  <si>
    <t>естя один куб, то 1/3 воздуха нагревается только в одном неотглу-</t>
  </si>
  <si>
    <t>шенном кубе, затем проходит необогреваемый газами отглушенный куб.</t>
  </si>
  <si>
    <t xml:space="preserve">  При отглушении части трубок ВЭ проходное сечения для воды сокра-</t>
  </si>
  <si>
    <t>щается, а для дым газов остается прежним.</t>
  </si>
  <si>
    <t xml:space="preserve">  Температура перегретого пара регулируется впрыском автоматичес-</t>
  </si>
  <si>
    <t>ки, но регулирование рециркуляцией производится вручную. Hа газе</t>
  </si>
  <si>
    <t>рециркуляцию включают при низких нагрузках для поднятия темпера-</t>
  </si>
  <si>
    <t>туры перегретого пара (можно это сделать и избытком воздуха), но</t>
  </si>
  <si>
    <t>автоматическое регулирование впрыском при этом сохраняют. Впрочем,</t>
  </si>
  <si>
    <t>бывает, что все регулирование t п/пара производится вручную.</t>
  </si>
  <si>
    <t xml:space="preserve">  Предварительный подогрев воздуха бывает в калориферах и рецирку-</t>
  </si>
  <si>
    <t>ляцией горячего воздуха после ВП2 на всас дутьевого вентилятора.</t>
  </si>
  <si>
    <t>Рецирк дым газов бывает в топку (или перед ней) и на всас ДВ. Ес-</t>
  </si>
  <si>
    <t>ли включена такая рецирк. д.газов, то рецирк. воздуха или калори-</t>
  </si>
  <si>
    <t>фер не включаются.</t>
  </si>
  <si>
    <t xml:space="preserve">  Рециркуляция пара/к-та через УСК может превышать размер впрыска</t>
  </si>
  <si>
    <t>(это предусмотрено и в компьтерном расчете), однако более типичные</t>
  </si>
  <si>
    <t>варианты конструктивного исполнения предполагают отсутствие пере-</t>
  </si>
  <si>
    <t>ливов к-та в барабан -т.е. равенство р-дов рециркуляции и впрыска.</t>
  </si>
  <si>
    <t>C_CO2</t>
  </si>
  <si>
    <t>tsv=3.2591*isv-0.00087119*isv^2</t>
  </si>
  <si>
    <t>a_O2</t>
  </si>
  <si>
    <t>a_H2O</t>
  </si>
  <si>
    <t>i_H2O</t>
  </si>
  <si>
    <t>---- Воздух ----</t>
  </si>
  <si>
    <t>y*10^6</t>
  </si>
  <si>
    <t>Состав природ (Саратовского) газа в % по объему:</t>
  </si>
  <si>
    <t>CH4</t>
  </si>
  <si>
    <t>Объемы возд и прод сгорания Саратов газа при а=1:</t>
  </si>
  <si>
    <t>Vro2</t>
  </si>
  <si>
    <t>ТЕПЛООБМЕH В ТОПКЕ</t>
  </si>
  <si>
    <t>Ma=0.445</t>
  </si>
  <si>
    <t>f=1-q5/100</t>
  </si>
  <si>
    <t>Br=B*(1-q4/100)</t>
  </si>
  <si>
    <t>Csr=(Ia-I")/(Ta-T")</t>
  </si>
  <si>
    <t>af=b*as</t>
  </si>
  <si>
    <t>as=1-@Exp(-ks*p*s)</t>
  </si>
  <si>
    <t>s=3.6*Vs/Fst</t>
  </si>
  <si>
    <t>rn=r_H2O+r_RO2</t>
  </si>
  <si>
    <t>pn=p*rn</t>
  </si>
  <si>
    <t>dn=13; 16 или 20 мкн</t>
  </si>
  <si>
    <t>m=10*Ar*aun/Vg</t>
  </si>
  <si>
    <t>es</t>
  </si>
  <si>
    <t>x=1.0  (для расчета топки)</t>
  </si>
  <si>
    <t>x=1-(1-x1)*(1-x2)*(1-x3)*(1-x4)...</t>
  </si>
  <si>
    <t>КОHВЕКТИВHЫЙ ТЕПЛООБМЕH</t>
  </si>
  <si>
    <t>ak=f(w,t); w=wo*(t+273)/273</t>
  </si>
  <si>
    <t>w=Br*Vg/(3600*Fc)*(t+273)/273</t>
  </si>
  <si>
    <t>при (s1/d-1)/(s2'/d-1)&lt;=0.7:</t>
  </si>
  <si>
    <t>при (s1/d-1)/(s2'/d-1)&gt;0.7:</t>
  </si>
  <si>
    <t>Msd=((s1/d-1)/(s2'/d-1))^0.25</t>
  </si>
  <si>
    <t>s2'/d=(0.25*(s1/d)^2+(s2/d)^2)^0.5</t>
  </si>
  <si>
    <t xml:space="preserve">de=4*F/Um или 4*a*b/(z*3.14*d)-d </t>
  </si>
  <si>
    <t>Ct=f(t,tst)</t>
  </si>
  <si>
    <t>При охлаждении газов Ct=1.06; для воды и пара Ct=1.0</t>
  </si>
  <si>
    <t>tst</t>
  </si>
  <si>
    <t>ak=Ap/de^0.2*w^0.8</t>
  </si>
  <si>
    <t>Коэф теплоотдачи излучением:</t>
  </si>
  <si>
    <t>St=4 для запыленного и St=3.6 для чисто газового потока</t>
  </si>
  <si>
    <t>ast=0.82</t>
  </si>
  <si>
    <t>HОМОГРАММЫ</t>
  </si>
  <si>
    <t>для воздуха:</t>
  </si>
  <si>
    <t>для дым газов:</t>
  </si>
  <si>
    <t>s2d</t>
  </si>
  <si>
    <t>de</t>
  </si>
  <si>
    <t>УЧЕТ ЗАГРЯЗHЕHИЙ</t>
  </si>
  <si>
    <t>КПу</t>
  </si>
  <si>
    <t>При сжигании твердых топлив:</t>
  </si>
  <si>
    <t>H2</t>
  </si>
  <si>
    <t>N2</t>
  </si>
  <si>
    <t>N2v</t>
  </si>
  <si>
    <t>O2</t>
  </si>
  <si>
    <t>CO</t>
  </si>
  <si>
    <t>SO2</t>
  </si>
  <si>
    <t>H2S</t>
  </si>
  <si>
    <t>C2H6</t>
  </si>
  <si>
    <t>C3H8</t>
  </si>
  <si>
    <t>C4H10</t>
  </si>
  <si>
    <t>C5H12</t>
  </si>
  <si>
    <t>C2H4</t>
  </si>
  <si>
    <t>C3H6</t>
  </si>
  <si>
    <t>C4H8</t>
  </si>
  <si>
    <t>C6H6</t>
  </si>
  <si>
    <t>H2O</t>
  </si>
  <si>
    <t>SO3</t>
  </si>
  <si>
    <t>C_N2</t>
  </si>
  <si>
    <t>ism!</t>
  </si>
  <si>
    <t>a_CO2</t>
  </si>
  <si>
    <t>i_CO2</t>
  </si>
  <si>
    <t>y=9.81*m*v м2/сек,  где v - уд объем м3/кг.</t>
  </si>
  <si>
    <t>My</t>
  </si>
  <si>
    <t>Mh</t>
  </si>
  <si>
    <t>v</t>
  </si>
  <si>
    <t>VoN2</t>
  </si>
  <si>
    <t>x</t>
  </si>
  <si>
    <t>1/a2s=~1/2400 для ПП (Р=100ата) и 1/a2s=~0.0 для ВЭ</t>
  </si>
  <si>
    <t>Ct</t>
  </si>
  <si>
    <t>an</t>
  </si>
  <si>
    <t>Cs</t>
  </si>
  <si>
    <t>Cf'</t>
  </si>
  <si>
    <t>П/П</t>
  </si>
  <si>
    <t>eo*100</t>
  </si>
  <si>
    <t>Mv</t>
  </si>
  <si>
    <t>C_O2</t>
  </si>
  <si>
    <t>i_O2</t>
  </si>
  <si>
    <t>Pr=3600*y*Cp*Y/h   где Cp - истинная теплоем-</t>
  </si>
  <si>
    <t>~0.71</t>
  </si>
  <si>
    <t>i</t>
  </si>
  <si>
    <t>VoH2O</t>
  </si>
  <si>
    <t xml:space="preserve"> A=0.5 для ПП и 0.2 за ПП</t>
  </si>
  <si>
    <t>ГлЭк</t>
  </si>
  <si>
    <t>Yg</t>
  </si>
  <si>
    <t>C_H2O</t>
  </si>
  <si>
    <t>dZ</t>
  </si>
  <si>
    <t>iZ</t>
  </si>
  <si>
    <t>-Дым газ ср состава</t>
  </si>
  <si>
    <t>Vog</t>
  </si>
  <si>
    <t>Ap=0.023*h/(9.81*m*v)^0.8*Pr^0.4</t>
  </si>
  <si>
    <t>ЧугЭк</t>
  </si>
  <si>
    <t>Qn</t>
  </si>
  <si>
    <t>Csv</t>
  </si>
  <si>
    <t>ism</t>
  </si>
  <si>
    <t xml:space="preserve">  для 1 и 2ст ВП</t>
  </si>
  <si>
    <t xml:space="preserve">  для ТВП al=0.0</t>
  </si>
  <si>
    <t>Cvv</t>
  </si>
  <si>
    <t>Ct=Cl=1</t>
  </si>
  <si>
    <t>A=0.3 -газ,мазут;0.4 -АШ</t>
  </si>
  <si>
    <t>Cz</t>
  </si>
  <si>
    <t>--Природ газ (Саратовский)</t>
  </si>
  <si>
    <t>y=9.81*m*v</t>
  </si>
  <si>
    <t>C_O</t>
  </si>
  <si>
    <t>Y</t>
  </si>
  <si>
    <t>C_H2</t>
  </si>
  <si>
    <t>C_CH4</t>
  </si>
  <si>
    <t>C_H2S</t>
  </si>
  <si>
    <t>C_C2H6</t>
  </si>
  <si>
    <t>C_C3H8</t>
  </si>
  <si>
    <t>C_C4H10</t>
  </si>
  <si>
    <t xml:space="preserve"> C_C5H12</t>
  </si>
  <si>
    <t>Две нижние строки - аппроксимация по формулам:</t>
  </si>
  <si>
    <t>Экстрополяция:</t>
  </si>
  <si>
    <t xml:space="preserve"> Более полный рекурсивный фрагмент:</t>
  </si>
  <si>
    <t>Сред состав дым газов соответствует r_H2O=0.11 и r_CO2=0.13, где r - объем-</t>
  </si>
  <si>
    <t>ные доли H2O и CO2, равные их парциальным давлениям при P=1ата</t>
  </si>
  <si>
    <t xml:space="preserve"> ! Искажения не отмечены (визуально не обнаружены)</t>
  </si>
  <si>
    <t xml:space="preserve"> * y воздуха</t>
  </si>
  <si>
    <t xml:space="preserve"> * y дым газа</t>
  </si>
  <si>
    <t xml:space="preserve">  * t=0..1600 oC; dY=0.001</t>
  </si>
  <si>
    <t xml:space="preserve"> * Есть незначительные искажения в обл. t=0..10 oC</t>
  </si>
  <si>
    <t xml:space="preserve"> * Hе исключены некоторые искажения в обл. t=0..100 oC (область неопределенности)</t>
  </si>
  <si>
    <t xml:space="preserve"> * m,кг*сек/м2</t>
  </si>
  <si>
    <t xml:space="preserve"> * h,ккал/(м*час*град)</t>
  </si>
  <si>
    <t>Аппроксимация:</t>
  </si>
  <si>
    <t xml:space="preserve">  *! Диапазон слишком узкий по t </t>
  </si>
  <si>
    <t xml:space="preserve"> * dY=0.2; диапазон по t широкий, по Р - от 80 до 120 ата, но в дальнейшем не помешает перепроверить.</t>
  </si>
  <si>
    <t xml:space="preserve"> * j - условный коэф загрязнения лучевоспринимающих поверхностей (для газа j=1.0; мазут j=0.9; тв топливо j=0.7); Hl - лучевоспр поверхность нагрева в м2.</t>
  </si>
  <si>
    <t xml:space="preserve"> * Степень экранирования топки u=Hl/Fst; Fst - полная поверхность стен топки.</t>
  </si>
  <si>
    <t xml:space="preserve">  * kg - коэф ослабления лучей атомами H2O и CO2</t>
  </si>
  <si>
    <t xml:space="preserve">  * Стр 25: доля золы, ун газами, принимается для пылеуг топок с сухим шлакоуд 0.9; для однокамер с жид шл-уд 0.6-0.7; для двухкам с жид шл-уд 0.4-0.5; для т. с высоким шл-уд (циклон) 0.1-0.15. В норм примере m=67г/нм3, что соотв aun=0.9.</t>
  </si>
  <si>
    <t xml:space="preserve">  *  m - к-ция золы в конце топки в г/нм3; aun - доля золы, уносимая газами.</t>
  </si>
  <si>
    <t xml:space="preserve">  * Bo=FX*Bo - стр. 34. FX - химический фактор, учитывающий избыток воздуха. Почему-то речь только о жидком топливе и избытках за пределами а=1.1...1.35</t>
  </si>
  <si>
    <t xml:space="preserve">  * a - избыток воздуха в топке</t>
  </si>
  <si>
    <t xml:space="preserve">  * В топках корабл котлов на жид топл при откл части форсунок ухудшается заполнение топоч объема пламенем. Ф-ла (6-24) используется при теплонапряжении поверхности B*Qn/Fst&lt;0.8*10^6 ккал/(м2*час). Почему В, а не Br (распологаемое) не ясно.</t>
  </si>
  <si>
    <t xml:space="preserve">  * Стр 34. В пылеуг топках с угловыми горелками угол влияет на заполнение топоч V факелом. Ma=0.445 заменяется на 0.4 или 0.5 при повороте горелок на 30 градусов вверх или вниз.</t>
  </si>
  <si>
    <t xml:space="preserve">  * Тепловая нагрузка излучением ккал/(м2*час). Br и Hl - см выше; Ql - кол-во тепла, переданное излучением. ky - коэф неравномерности распред тепла в топке. Hо ф-ла не для топки, а поверхностей, воспринимающих излуч из топки - например поверх п/п.</t>
  </si>
  <si>
    <t xml:space="preserve">  * См. также примеч к ПП2 в примере из норм расчета, где ky=0.75</t>
  </si>
  <si>
    <t xml:space="preserve">  * Степень экранирования топки u=Hl/Fst; Fst - полная поверхность стен топки.</t>
  </si>
  <si>
    <t xml:space="preserve">  * Fe - площадь стены, занятая экраном, х - угловой коэфф, отношение воспринятого излученного тепла к оному для сплошного экрана тех же габаритов при температуре, равной температуре экранных труб</t>
  </si>
  <si>
    <t xml:space="preserve">  * Стр 196. Для однорядного гладкотрубного экрана с учетом излучения обмуровки</t>
  </si>
  <si>
    <t xml:space="preserve">  * sd=s/d, s - расстояние между трубами (их срединами); es - расстояние от средины трубы до обмуровки, деленное на d</t>
  </si>
  <si>
    <t xml:space="preserve">  * Hl фестона = Ff*xf = 57.1*0.746 = 42.6 м2, где 57.1 - поверхность 1-го ряда фестона. "Дефицит" 57.1-42.6 относится к п/п, соответствующий ему "проскок" излучения из топки в п/п умножается на ky=0.75 (о ky см выше) </t>
  </si>
  <si>
    <t xml:space="preserve">  * k - коэф теплопередачи ккал/(м2*час*град)</t>
  </si>
  <si>
    <t xml:space="preserve">  * УСК - установка для приготовления собственного конденсата (тип труба в трубе).</t>
  </si>
  <si>
    <t xml:space="preserve">  * ТВП - трубчатый воздухоподогреватель.</t>
  </si>
  <si>
    <t xml:space="preserve">  ** Стр. 51. Условная температура пароводяной смеси равна tнасыщения (tкипения) плюс полразности энтальпий смеси и энталпии кипящей воды. Применяется для расчета кипящих экономайзеров при доле пара на выходе эк-ра =&lt;30%</t>
  </si>
  <si>
    <t xml:space="preserve">  * a1s, a2s - коэф теплоотдачи от греющей среды к стенке и от ст к нагреваемой среде; e - коэф загрязнения стенок (им часто пренебрегают?). e=dz/hz+dn/hn - толщина на коэф тепопроводности ккал/(м*час*град) золы или накипи.</t>
  </si>
  <si>
    <t xml:space="preserve">  * В примере норм расчета за 1957г обычно используется вариант k=a1s/(1+(e+1/a2s)*a1s).</t>
  </si>
  <si>
    <t xml:space="preserve">  * ee - коэф использования поверхности нагрева (применяется в расчетах 2-й и 1-й ступени воздухоподогревателя - в норм примере за 1957г стр.144 и 148 для 2-й и 1-й ст.  ee=0.75, а член теплопередачи излучением -см ниже- al отсутствует)</t>
  </si>
  <si>
    <t xml:space="preserve">  * wn - коэф неполноты омывания (обычно wn=1); ak, al - коэф теплоотдачи конвекцией и излучением</t>
  </si>
  <si>
    <t xml:space="preserve">  * Согласно норм примера за 1957г стр. 144 и 148 для воздухоподогревателя член излучения не учитывается (al=0)</t>
  </si>
  <si>
    <t xml:space="preserve">  * ak' - то же, что ak (коэф теплоотдачи конвекцией); при теплопередаче от стенки к нагреваемой среде член теплопередачи излучением отсутствует</t>
  </si>
  <si>
    <t xml:space="preserve">  * Для вод экономайзера значением a2s пренебрегают. В первом приближении можно пренебречь и значением a2s для паропер-ля или взять его зн-е из примера в норм методе за 1957г стр. 137 (Рб=110ата). Более точные соотношения для a2s см. в файле rascet.wq1.</t>
  </si>
  <si>
    <t xml:space="preserve">  *  w - cкорость м/сек; wo - скорость при t=0 oC, сответсвующая принятому выражению объемов газов (они обычно даются в объемах при t=0) </t>
  </si>
  <si>
    <t xml:space="preserve">  *  Vg - объем газов в нм3 на нм3 сжигаемого газа; Fc - площадь сечения для прохода газов в м2.</t>
  </si>
  <si>
    <t xml:space="preserve">  * При числе рядов Nr=1 используется ф-ла для шахматных пучков</t>
  </si>
  <si>
    <t xml:space="preserve">  * Ф-ла (7-26). Здесь d - диаметр труб в м. Cz - поправка на число поперечных рядов по номограмме.</t>
  </si>
  <si>
    <t xml:space="preserve">  * Точки при малых Nr проверены -"выбегов" нет; то же при больших Nr</t>
  </si>
  <si>
    <t xml:space="preserve">  * Str=const - коэф, зависящий от структурных факторов</t>
  </si>
  <si>
    <t xml:space="preserve">  * Ф-ла (7-33). de - эквивалентный диаметр. Ct и Cl - множители (см. ниже)</t>
  </si>
  <si>
    <t xml:space="preserve">  * При течении газов  внутри труб de=dвнутр; при течении газов в некруглых трубах и продольном омывании пучков de=4*F/Um; для газохода, заполненного трубами, de=4*a*b/(z*3.14*d)-d </t>
  </si>
  <si>
    <t xml:space="preserve">  *  F - живое сечение газохода; Um - часть периметра, через которую происходит теплообмен. a и b - поперечные размеры газохода, z - кол-во труб в нем</t>
  </si>
  <si>
    <t xml:space="preserve">  *  Поправка на относительную длину вводится только при L/de&lt;50</t>
  </si>
  <si>
    <t xml:space="preserve">  * Точки при малых L/de проверены -"выбегов" нет</t>
  </si>
  <si>
    <t xml:space="preserve">  *  t, tst - температуры потока и стенки.</t>
  </si>
  <si>
    <t xml:space="preserve">  * Стр. 40, фиг. 4.</t>
  </si>
  <si>
    <t xml:space="preserve">  *  При нагревании газов (при охлаждении газов Ct=1.06, для воды и пара Ct=1.).</t>
  </si>
  <si>
    <t xml:space="preserve">  * Сравни с Q=k*H*dt/Br; tsr - средняя температура среды, протекающей внутри труб. e - коэф загрязнения</t>
  </si>
  <si>
    <t xml:space="preserve">  * Ф-ла (7-33). de - эквивалентный диаметр в м. Ct и Cl - множители.</t>
  </si>
  <si>
    <t xml:space="preserve">  * Ф-ла (7-33). de - эквивалентный диаметр в м</t>
  </si>
  <si>
    <t>d=(1.17462+0.0086103*t-6.9814E-06*t^2+1.44913E-07*t^3)^10</t>
  </si>
  <si>
    <t>d=(1.0837+0.0041865*t-3.6193E-05*t^2+1.14063E-06*t^3-1.7627E-08*t^4+1.0466E-10*t^5)^20</t>
  </si>
  <si>
    <t>! Откорректировано на отсутсвие искажений в обл. малых температур</t>
  </si>
  <si>
    <t>* Возможно небольшое искажение в обл. t=0..50 oC</t>
  </si>
  <si>
    <t>! Искажения не отмечены (визуально не обнаружены)</t>
  </si>
  <si>
    <t>! Искажения не замечены, хорошо экстраполируется на 0 oC, плохо -на 2500 оС.</t>
  </si>
  <si>
    <t>!* Искажения не замечены (почти незамечены - в обл. 0-10 oC)</t>
  </si>
  <si>
    <t xml:space="preserve"> * При расчете Yg и Qn объем грамм-молекулы газа принят 22.41 л (как для идеального газа); Yg=Mv/22.41</t>
  </si>
  <si>
    <t xml:space="preserve"> * При содержании в топливе до 3% непредельных углеводородов неизвестного состава они принимаются состоящими из этилена</t>
  </si>
  <si>
    <t>передаче на дальние расстояния влага удаляется и влагосодержание</t>
  </si>
  <si>
    <t>газа можно считать отвечающим насыщению при t=10 oC.</t>
  </si>
  <si>
    <t xml:space="preserve"> * Csred=I/t</t>
  </si>
  <si>
    <t xml:space="preserve"> * t=0..2500 oC; dY=0.0002</t>
  </si>
  <si>
    <t xml:space="preserve"> * t=0..2500 oC; dY=0.0001</t>
  </si>
  <si>
    <t xml:space="preserve"> * t=0..2500 oC; dY&lt;0.0001</t>
  </si>
  <si>
    <t xml:space="preserve"> * t=0..2500 oC</t>
  </si>
  <si>
    <t>** t=100..2000 oC;  ~~0..2000 oC. Cz в ккал/(кг*град)</t>
  </si>
  <si>
    <t>* Энтальпия золы в ккал/кг. Кусочная и почти линейная функция, так что выбегов не должно быть; экстраполируется в любую сторону.</t>
  </si>
  <si>
    <t>* Энтальпия золы в ккал/г</t>
  </si>
  <si>
    <t xml:space="preserve"> * t=0..1000 oC</t>
  </si>
  <si>
    <t xml:space="preserve"> * t=0..1000 oC; dY=0.0005</t>
  </si>
  <si>
    <t>* ism - i_смеси; ie - энтальпия, приблизительно эквивалентная энтальпии азота - приведенная к i_азота при одинаковой t; а_ - доли газов; dZ - сод-е золы в г на 1нм3 чистой (не содержащей пыли) смеси.</t>
  </si>
  <si>
    <t>* Погрешность в пределах 2% от t oC</t>
  </si>
  <si>
    <t>* ie=f(ism,a,ie) - довольно устойчивая рекурсивная ф-ла</t>
  </si>
  <si>
    <t>* ie в правой части заменили на ism, пренебрегая разницей между ie и ism</t>
  </si>
  <si>
    <t>* Погрешность в пределах 1% от t oC; наибольшую погрешность привносит зола - множитель при dZ равен f(ism,dZ,a_H2O,a_CO2)</t>
  </si>
  <si>
    <t>* Обеспечивает погрешность в пределах 0.3% по t в oC. Замена в правой части ie на ism увеличивает погрешность примерно в 2 раза.</t>
  </si>
  <si>
    <t>* Это простейшая по своей организации рекурсия, однако работает достаточно быстро и надежно.</t>
  </si>
  <si>
    <t>* Поправка на влажность t=t+dtr; dtr=@if(ig&lt;200,1.6-1.87*ig^0.3+0.2012*avt-21.75*r_H2Ov+0.302*ig^0.6,-0.19-0.0006295*ig+0.7193*avt^-0.4+41.38*r_H2Ov-0.4254*ig*avt^-0.4*r_H2Ov)</t>
  </si>
  <si>
    <t>коэф вязкости у м2/сек, а для пара и воды - коэф динамич вязкости</t>
  </si>
  <si>
    <t>m кг*сек/м2.</t>
  </si>
  <si>
    <t xml:space="preserve">физических свойств </t>
  </si>
  <si>
    <t>кость ккал/(кг*град), Y - уд вес, кг/м3.</t>
  </si>
  <si>
    <t xml:space="preserve"> * Стр. 17-21; энтальпия воды ккал/кГ по Вукаловичу 1958г</t>
  </si>
  <si>
    <t xml:space="preserve"> * dY=0.35; R=0.999989 </t>
  </si>
  <si>
    <t>** По ф-лам "ВТИ" (дир-я ISD). Диапазон Р=80..120 кгс/см2; dY=0.06, R=1.</t>
  </si>
  <si>
    <t>* dY=0.2; диапазон по t от 150 оС и выше, по Р - от 80 до 140 ата, но в пределах данной точности t от Р почти не зависит</t>
  </si>
  <si>
    <t>* tнасыщения -для контроля получаемых или вводимых данных.</t>
  </si>
  <si>
    <t xml:space="preserve"> </t>
  </si>
  <si>
    <t>Стр.48-49 "Тепл р-т промышл парогенераторов", Киев,"Вища школа", 80г:</t>
  </si>
  <si>
    <t>Стр. 43-44 Hорм метода за 1957г:</t>
  </si>
  <si>
    <t>* Стр. 206, номограмма II</t>
  </si>
  <si>
    <t xml:space="preserve"> * Тепловой расчет котельных агрегатов (нормативный метод), 1957г, под редакцией А.М. Гурвича и H.В. Кузнецова</t>
  </si>
  <si>
    <t xml:space="preserve"> * Стр. 11 с некоторыми дополнениями.  Yg - уд вес газа, кг/м3; Qn - теплота сгорания низшая, ккал/нм3; Mv - молекулярный вес</t>
  </si>
  <si>
    <t xml:space="preserve"> * Водород</t>
  </si>
  <si>
    <t xml:space="preserve"> * Азот элементарный</t>
  </si>
  <si>
    <t xml:space="preserve"> * Азот воздуха (с примесью аргона)</t>
  </si>
  <si>
    <t xml:space="preserve"> * Кислород</t>
  </si>
  <si>
    <t xml:space="preserve"> * Окись углерода</t>
  </si>
  <si>
    <t xml:space="preserve"> * Углекислота</t>
  </si>
  <si>
    <t xml:space="preserve"> * Сернистый газ</t>
  </si>
  <si>
    <t xml:space="preserve"> * Сероводород</t>
  </si>
  <si>
    <t xml:space="preserve"> * Метан</t>
  </si>
  <si>
    <t xml:space="preserve"> * Этан</t>
  </si>
  <si>
    <t xml:space="preserve"> * Пропан</t>
  </si>
  <si>
    <t xml:space="preserve"> * Бутан</t>
  </si>
  <si>
    <t xml:space="preserve"> * Пентан</t>
  </si>
  <si>
    <t xml:space="preserve"> * Этилен</t>
  </si>
  <si>
    <t xml:space="preserve"> * Пропилен</t>
  </si>
  <si>
    <t xml:space="preserve"> * Бутилен</t>
  </si>
  <si>
    <t xml:space="preserve"> * Бензол</t>
  </si>
  <si>
    <t xml:space="preserve"> * Стр. 12</t>
  </si>
  <si>
    <t>t</t>
  </si>
  <si>
    <t>d</t>
  </si>
  <si>
    <t>* Стр. 14 и 164</t>
  </si>
  <si>
    <t xml:space="preserve"> * Csv - сред. теплоемкость сухого воздуха; Cvv влажного воздуха вычислена при d=10г на 1 кг сухого воздуха и отнесена к 1 нм3 сух воздуха. Общая ф-ла: Cvv=Csv+0.0016*d*C_H2O ккал/(нм3*град); Cz - ср теплоемк золы в ккал/(кг*град)</t>
  </si>
  <si>
    <t xml:space="preserve"> * Выделенные значения получены экстраполяцией</t>
  </si>
  <si>
    <t>C_CO2=0.34584+0.0008688*(t+100)^0.82-1.09945E-06*(t+100)^1.64+5.4341E-10*(t+100)^2.46</t>
  </si>
  <si>
    <t>C_N2=0.309701-5.55238E-06*(t+100)^1.1+1.60444E-08*(t+100)^2.2-5.68436E-12*(t+100)^3.3+8.56875E-16*(t+100)^4.4-4.82474E-20*(t+100)^5.5</t>
  </si>
  <si>
    <t>C_O2=0.317715-0.000574557*(t+100)^0.7+1.64618E-05*(t+100)^1.4-1.19525E-07*(t+100)^2.1+3.85185E-10*(t+100)^2.8-4.67365E-13*(t+100)^3.5</t>
  </si>
  <si>
    <t>C_HO2=0.356179-3.26182E-05*(t+100)^0.8+1.29519E-06*(t+100)^1.6-1.48934E-09*(t+100)^2.4-5.94678E-13*(t+100)^3.2+1.29158E-15*(t+100)^4</t>
  </si>
  <si>
    <t>Csv=(0.0534122+8.6718E-07*t+2.64098E-08*t^2-2.10894E-11*t^3+7.09675E-15*t^4-8.97019E-19*t^5)^0.4</t>
  </si>
  <si>
    <t>Cvv=(0.0557139+2.67296E-06*t+2.4047E-08*t^2-1.86305E-11*t^3+6.02213E-15*t^4-7.33029E-19*t^5)^0.4</t>
  </si>
  <si>
    <t>Cz=0.1748+0.0001971*t-3.2243E-07*t^2+2.4285E-10*t^3-5.77E-14*t^4</t>
  </si>
  <si>
    <t>iZ=0.10364*t^1.12+0.26993*@if(t&lt;=1300,0,(t-1300)^0.9)</t>
  </si>
  <si>
    <t>iZl=(0.10364*t^1.12+0.26993*@if(t&lt;=1300,0,(t-1300)^0.9))/1000</t>
  </si>
  <si>
    <t>C_CO=0.31015-1.216E-06*t+6.014E-08*t^2-3.2245E-11*t^3</t>
  </si>
  <si>
    <t>C_H2=0.30493+0.000181*t^0.7-2.135E-06*t^1.4+1.1664E-08*t^2.1</t>
  </si>
  <si>
    <t>C_CH4=0.39501-0.00838514*(t+100)^0.5+0.000596154*(t+100)+3.63811E-07*(t+100)^1.5-1.1617E-07*(t+100)^2</t>
  </si>
  <si>
    <t>C_H2S=0.36+5.4806E-05*t+6.4802E-08*t^2-3.7685E-11*t^3</t>
  </si>
  <si>
    <t>C_C2H6=0.5278+0.00060807*t^1.03-1.2851E-07*t^2.06</t>
  </si>
  <si>
    <t>C_C3H8=0.7285+0.0011496*t-3.3776E-07*t^2</t>
  </si>
  <si>
    <t>C_C4H10=0.9853+0.0014386*t-4.1946E-07*t^2</t>
  </si>
  <si>
    <t>C_C5H12=1.2243+0.00176*t-5.1655E-07*t^2</t>
  </si>
  <si>
    <t xml:space="preserve">  Теплоемкость сухой массы C_ts ккал/(кг*град) принимается:</t>
  </si>
  <si>
    <t>для антрацитов и тощих углей 0.22;</t>
  </si>
  <si>
    <t>для каменных углей 0.26 (бурых 0.27).</t>
  </si>
  <si>
    <t>C_tr=Wr/100+C_ts*(100-Wr)/100  ккал/(кг*град)</t>
  </si>
  <si>
    <t>C_maz=0.415+0.0006*t  ккал/(кг*град)</t>
  </si>
  <si>
    <t>ie=ism*(1-0.25*a_H2O-0.53*a_CO2-0.05*a_O2-0.0007*dZ)</t>
  </si>
  <si>
    <t>t=3.3211*ie-0.0012194*ie^2+9.2885E-07*ie^3-2.8144E-10*ie^4</t>
  </si>
  <si>
    <t>ie=ism*(1-(0.15+0.000415*ie^0.9)*a_H2O-(0.562-0.332*@Exp(-0.0068*ie))*a_CO2-(0.067-0.06465*@Exp(-0.01*ie)-8.813E-05*ie^0.7)*a_O2-(0.000581+2.41E-06*ie^0.7)*dZ)</t>
  </si>
  <si>
    <t>al=4.9E-08*(ast+1)/2*as*Tg^3*(1-(Tst/Tg)^Sti)/(1-Tst/Tg)</t>
  </si>
  <si>
    <t>al=4.9E-08*(0.82+1)/2*as*Tg^3*(1-(Tst/Tg)^Sti)/(1-Tst/Tg)</t>
  </si>
  <si>
    <t xml:space="preserve">   *  aQpy - доля Qnp в смеси топлив, приходящаяся на уголь.</t>
  </si>
  <si>
    <t>Sti=4*aQpy+3.6*(1-aQpy)</t>
  </si>
  <si>
    <t xml:space="preserve"> * Сумма коэфф ослабления газовыми и золовыми частицами</t>
  </si>
  <si>
    <t>kzl=7*(dn*Tg)^-(2/3)</t>
  </si>
  <si>
    <t>kzl*mzl=4300*pg*mzl/(dn^2*Tg^2*3.14)^(1/3)</t>
  </si>
  <si>
    <t>pg=1.3</t>
  </si>
  <si>
    <t>* mzl здесь безразмер к-ция золы, кг/кг; aun -доля золы топлива, уносимой газами -в топке используется (1+aun)/2; Gg - безразмерный массовый расход газа в кг/кг (без паровых дутья или распыла Gg=1-Ar/100+1.306*avt*Vo; Vo -теоретич кол-во сухого возд)</t>
  </si>
  <si>
    <t>mzl=Ar*aun/(100*Gg)</t>
  </si>
  <si>
    <t>* dVv -объем присасываемого воздуха в нм3 на нм3 или кг сжигаемого топлива; dav -размер присоса воздуха, r_H2OV -объемная влажность воздуха.</t>
  </si>
  <si>
    <t>dVv=dav*$Vvo/(1-r_H2Ov)</t>
  </si>
  <si>
    <t xml:space="preserve">    *  Vgn -начальный (до смешения) объем газов в нм3/нм3 или нм3/кг</t>
  </si>
  <si>
    <t>r_RO2=r_RO2n*Vgn/Vg</t>
  </si>
  <si>
    <t>* iv=ivn+Qf*Br/Gv, Gv=Br*Vv. Vv - р-д воздуха в нм3 на 1нм3 или 1кг сжигаемого топлива</t>
  </si>
  <si>
    <t>* При копировании или корректировке фрагмента рекомендуется задать ism!=0, чтобы избежать сбоев.</t>
  </si>
  <si>
    <t>* dZ - концентрация золы в г на нм3 чистой (не включающей золу) газовой смеси.</t>
  </si>
  <si>
    <t>** dY=0.7; ig=ism, av -избыток воздуха. Диапазон t=0..2500 oC, av=1..2.5</t>
  </si>
  <si>
    <t>** dY=0.5; ig=ism, av -избыток воздуха, r_H2Ov влажность (объемная доля влаги) воздуха. Диапазон t=0..2500 oC, av=1..2.5, r_H2Ov=0..0.04</t>
  </si>
  <si>
    <t>Для продуктов сгорания среднего состава и атм давления приведены</t>
  </si>
  <si>
    <t>Приведены также коэф теплопроводности h ккал/(м*час*град) и критерий</t>
  </si>
  <si>
    <t xml:space="preserve"> * Стр. 16 и 22</t>
  </si>
  <si>
    <t>Для природ (Саратовского) газа при t=0..1000 oC:</t>
  </si>
  <si>
    <t>ydg=ydg*My, где поправочный коэф My=f(r_H2O,t):</t>
  </si>
  <si>
    <t xml:space="preserve"> * Стр. 15, фиг. 1а</t>
  </si>
  <si>
    <t>Аналогично hdg=hdg*Mh</t>
  </si>
  <si>
    <t xml:space="preserve"> * Стр. 15, фиг. 1б</t>
  </si>
  <si>
    <t>Аналогично Prdg=Prdg*Mpr</t>
  </si>
  <si>
    <t xml:space="preserve"> * Стр. 15, фиг. 1в</t>
  </si>
  <si>
    <t>Mpr=0.94395+0.51373*r_H2O-0.30885*r_H2O^2+2.37285*r_H2O^3</t>
  </si>
  <si>
    <t>My=0.96196-0.17372*@Exp(-0.0005*t)-0.3112*r_H2O^0.3+1.3114*@Exp(-0.0005*t)*r_H2O^0.3-0.32137*@Exp(-0.001*t)+0.30495*r_H2O^0.6-1.3793*@Exp(-0.001*t)*r_H2O^0.6+0.30708*@Exp(-0.0015*t)</t>
  </si>
  <si>
    <t>Mh=0.71538+0.19381*@Exp(-0.002*t)+1.1911*r_H2O^0.5-0.55292*@Exp(-0.002*t)*r_H2O^0.5-0.01103*@Exp(-0.004*t)-1.4397*r_H2O+0.020275*@Exp(-0.004*t)*r_H2O+1.242*r_H2O^1.5</t>
  </si>
  <si>
    <t xml:space="preserve"> * Стр. 17-21</t>
  </si>
  <si>
    <t xml:space="preserve"> * Давление [ата=кГ/см2] на линии насыщения по Вукаловичу 1958г</t>
  </si>
  <si>
    <t xml:space="preserve"> * Объем пара м3/кГ на линии насыщения по Вукаловичу 1958г</t>
  </si>
  <si>
    <t xml:space="preserve"> * Энтальпия пара ккал/кГ на линии насыщения по Вукаловичу 1958г</t>
  </si>
  <si>
    <t xml:space="preserve"> * Теплота парообразования ккал/кГ на линии насыщения по Вукаловичу 1958г</t>
  </si>
  <si>
    <t xml:space="preserve"> * Энтальпия воды ккал/кГ на линии насыщения по Вукаловичу 1958г</t>
  </si>
  <si>
    <t>m=10^-6*(-13.354+0.153*t-0.00052695*t^2+6.3131E-07*t^3)</t>
  </si>
  <si>
    <t>h=10^-2*(143.82+4.47975E-16*@Exp(0.1*t)-17.458*t^0.5+0.54651*t)</t>
  </si>
  <si>
    <t>Pr=-173.9673+1.776*t-0.00601645*t^2+6.8434E-06*t^3</t>
  </si>
  <si>
    <t>t=87.152+41.4582*P^0.4-0.984894*P^0.8</t>
  </si>
  <si>
    <t>t=193.897+1.6984*P-0.0066353*P^2+1.21825E-05*P^3</t>
  </si>
  <si>
    <t>v"=-0.011137+0.13634*P^-0.5+1.59725/P</t>
  </si>
  <si>
    <t>i"=675.292-0.019276*P^1.5-4.2803E-06*P^3</t>
  </si>
  <si>
    <t>r=486.837-2.1662*P+0.0069007*P^2-2.1787E-05*P^3</t>
  </si>
  <si>
    <t>i'=161.307+6.16086*P^0.8-0.0626355*P^1.6+0.000426786*P^2.4</t>
  </si>
  <si>
    <t>m=10^-6*(129.846-10.817*t^0.6+0.34021*t^1.2-0.0037766*t^1.8+0.0018589*P)</t>
  </si>
  <si>
    <t>h=10^-2*(54.646+0.075678*t-0.00012508*t^2-6.0067E-07*t^3-0.10783*t*P^-0.5)</t>
  </si>
  <si>
    <t>Pr=3.0416-0.0011505*t^1.6+2.3778E-07*t^3.2-2.2705E-11*t^4.8+8.4851E-16*t^6.4-4.045E-08*t^1.6*P</t>
  </si>
  <si>
    <t>i=26.37+0.080878*t^1.5-8.5314E-06*t^3+7.5664E-10*t^4.5+0.031721*P-9.2682E-06*t^1.5*P</t>
  </si>
  <si>
    <t>i=23.875+0.13488*t^1.4-0.00663337*P+1.14255E-05*t^1.4*P-2.24882E-05*t^2.8+9.69204E-05*P^2-3.83384E-11*t^2.8*P^2+3.73312E-09*t^4.2</t>
  </si>
  <si>
    <t>t=7.058+0.37694*i'^1.2-8.7402E-05*i'^2.4+5.2177*10^12*i'^-4*P^-2</t>
  </si>
  <si>
    <t>Банк формул и фрагментов по котлу</t>
  </si>
  <si>
    <t>(для природного газа)</t>
  </si>
  <si>
    <t>Вопросы ВХР см в директории BXP.</t>
  </si>
  <si>
    <t>шения.</t>
  </si>
  <si>
    <t xml:space="preserve"> * Средняя теплоемкость сухого воздуха; t=0..2500 oC</t>
  </si>
  <si>
    <t>*? "Cvv влажн возд вычислена при d=10г на 1 кг сухого возд и отнесена к 1 нм3 сух возд. Общ ф-ла: Cvv=Csv+0.0016*d*C_H2O ккал/(нм3*град)" -так сказано на стр.14 норм метода за 57г. Однако эта странная ф-ла совершенно не отвечает ф-ле смешения Csv-C_H2O</t>
  </si>
  <si>
    <t>Cvv=Csv+0.0016*d*C_H2O</t>
  </si>
  <si>
    <t xml:space="preserve"> ???</t>
  </si>
  <si>
    <t xml:space="preserve"> * Средняя теплоемкость влажного воздуха; t=0..2500 oC. r_H2Ov - влажность (объемная доля паров H2O) воздуха</t>
  </si>
  <si>
    <t>Cvv=(1-r_H2Ov)*Csv+r_H2Ov*C_H2O</t>
  </si>
  <si>
    <t>Cvv=(1-r_H2Ov)*(0.0534122+8.6718E-07*t+2.64098E-08*t^2-2.10894E-11*t^3+7.09675E-15*t^4-8.97019E-19*t^5)^0.4+r_H2Ov*(0.356179-3.26182E-05*(t+100)^0.8+1.29519E-06*(t+100)^1.6-1.48934E-09*(t+100)^2.4-5.94678E-13*(t+100)^3.2+1.29158E-15*(t+100)^4)</t>
  </si>
  <si>
    <t>* Энтальпия влажного воздуха</t>
  </si>
  <si>
    <t>ivv=t*Cvv</t>
  </si>
  <si>
    <t>ivv=t*((1-r_H2Ov)*(0.0534122+8.6718E-07*t+2.64098E-08*t^2-2.10894E-11*t^3+7.09675E-15*t^4-8.97019E-19*t^5)^0.4+r_H2Ov*(0.356179-3.26182E-05*(t+100)^0.8+1.29519E-06*(t+100)^1.6-1.48934E-09*(t+100)^2.4-5.94678E-13*(t+100)^3.2+1.29158E-15*(t+100)^4))</t>
  </si>
  <si>
    <t>** Рекурсивн расчет t, где ism! - известная или заданная энтальпия смеси; ism - энтальпия, расчитанная (как сумма энтальпий компонентов смеси) по скользящему зн-ю t; 2.5 - коэфф при di (меньше 2.5 - сходиться будет дольше, больше - может пойти вразнос)</t>
  </si>
  <si>
    <t xml:space="preserve"> Более полный рек фрагмент р-та t:</t>
  </si>
  <si>
    <t>* r - доля (такое обозначение объемной доли используется в норм. расчетах); i - энтальпия; t - рекурсивное значение t в оС; rn - суммарная объемная доля трехатомных газов, rn=r_H2O+r_RO2 (rn используется в последующих фрагментах)</t>
  </si>
  <si>
    <t>r_N2</t>
  </si>
  <si>
    <t>r_CO2</t>
  </si>
  <si>
    <t>r_O2</t>
  </si>
  <si>
    <t>rn</t>
  </si>
  <si>
    <t xml:space="preserve">  конец фрагмента</t>
  </si>
  <si>
    <t xml:space="preserve">  Для сухого воздуха при t=0..900 оС:</t>
  </si>
  <si>
    <t>* dY=0.4; iv=Csv*t</t>
  </si>
  <si>
    <t>tsv=3.2584*iv-0.00087946*iv^2</t>
  </si>
  <si>
    <t xml:space="preserve">  Для влажного воздуха при t=0..900 оС:</t>
  </si>
  <si>
    <t>** dY=0.4; tvv=tsv+dtr; dtr=-0.56112*iv*r_H2Ov. iv=Cvv*t, Cvv посчитана по формуле смешения. Кстати, как проверено, подобная поправка dtr=~-0.56112*(ig*0.65)*r_H2Ov может быть использована и для продуктов сгорания во влажном воздухе, о которых см. ниже.</t>
  </si>
  <si>
    <t>tvv=3.2584*iv-0.00087946*iv^2-0.56112*iv*r_H2Ov</t>
  </si>
  <si>
    <t>К РАСЧЕТУ ОБЪЕМОВ И ТЕПЛОВЫДЕЛЕHИЯ ГАЗОВ В ТОПКЕ:</t>
  </si>
  <si>
    <t xml:space="preserve"> Состав сухого воздуха в %:</t>
  </si>
  <si>
    <t xml:space="preserve">   *  Точнее: N2 - 78.09; O2 - 20.95; инерт. газы - 0.94; CO2 - 0.03</t>
  </si>
  <si>
    <t>N2 - ~79%; O2 - ~21%</t>
  </si>
  <si>
    <t xml:space="preserve"> *  Стр. 169 норм метода за 1957г. Объемы воздуха и продуктов сгорания Саратовского газа при избытке воздуха аvt=1 в нм3 на нм3 сухого газа</t>
  </si>
  <si>
    <t xml:space="preserve">  Объемы сух возд и прод сгорания 1нм3 Саратов газа при аvt=1:</t>
  </si>
  <si>
    <t xml:space="preserve"> * Символ "o" относится к avt=1. Vvo -объем воздуха Vv при аvt=1; Vgo -полный объем продуктов сгорания Vg при avt=1. CHr=Cr/Hr -соотношение между содержанием C и H в рабочей массе (в СH4 равно 12/4=3).</t>
  </si>
  <si>
    <t>Vvo</t>
  </si>
  <si>
    <t>V_CO2o</t>
  </si>
  <si>
    <t>V_N2o</t>
  </si>
  <si>
    <t>V_H2Oo</t>
  </si>
  <si>
    <t>Vgo</t>
  </si>
  <si>
    <t>CHr</t>
  </si>
  <si>
    <t xml:space="preserve"> * Объем водяных паров VH2Oo посчитан без учета влаги в газообразном топливе, что не вносит существенной погрешности в расчет.</t>
  </si>
  <si>
    <t xml:space="preserve"> *  В данном фрагменте состав воздуха принят N2=79%, O2=21%. Степень рециркуляции r=0 отвечает отсутствию рециркуляции. avt -избыток воздуха, поступающего в топку.</t>
  </si>
  <si>
    <t xml:space="preserve">  Объемы возд и прод сгорания 1нм3 Саратов газа при аvt&gt;1 и r=0:</t>
  </si>
  <si>
    <t>* r_H2Ov -объемная доля паров воды в воздухе. Символ "i" относится к r=0, то есть к сжиганию при отсутствии рециркуляции.</t>
  </si>
  <si>
    <t>Vvi=avt*9.51/(1-r_H2Ov)</t>
  </si>
  <si>
    <t>Vgi=10.68+(avt-1)*9.51+Vvi*r_H2Ov</t>
  </si>
  <si>
    <t xml:space="preserve">  Объемы возд и прод сгорания 1нм3 Саратов газа при аvt&gt;1 и r&gt;0:</t>
  </si>
  <si>
    <t>* Символ "i" относится к r=0, то есть к сжиганию газа при отсутствии рециркуляции. Символ "r" относится к газовой смеси, отбираемой на рециркуляцию.</t>
  </si>
  <si>
    <t xml:space="preserve">    *  Общий объем газов в нм3/нм3 Vg=Vgi+r*Vgr, т.е. объему газов при отсутствии рециркуляции Vgi плюс объем рециркулирующих газов r*Vgr.</t>
  </si>
  <si>
    <t>Vg=Vgi+r*Vgr</t>
  </si>
  <si>
    <t xml:space="preserve">   **  Ф-ла на все случаи смешения потоков в топке и по газовому тракту применительно к сжиганию саратовского газа.</t>
  </si>
  <si>
    <t>av=1+r_O2*1.01/(r_CO2*0.21*9.51)</t>
  </si>
  <si>
    <t xml:space="preserve"> Объемные доли прод сгорания 1нм3 Саратов газа при аvt&gt;1 и r&gt;0:</t>
  </si>
  <si>
    <t>r_CO2=(1.01+r_CO2r*r*Vgr)/Vg</t>
  </si>
  <si>
    <t>r_N2=((7.54+0.79*(avt-1)*9.51)+r_N2r*r*Vgr)/Vg</t>
  </si>
  <si>
    <t>r_H2O=((2.13+Vvi*r_H2Ov)+r_H2Or*r*Vgr)/Vg</t>
  </si>
  <si>
    <t>r_O2=((0.21*(avt-1)*9.51)+r_O2r*r*Vgr)/Vg</t>
  </si>
  <si>
    <t>* Полезное тепловыделение Ia и адиабатическая энтальпия iasm прод сгорания 1нм3 Саратов газа. Ia в ккал/нм3 относится к 1нм3 сухого сжигаемого газа.</t>
  </si>
  <si>
    <t>Тепловыделение Ia и адиабат энтальпия iasm прод сгорания 1нм3 газа:</t>
  </si>
  <si>
    <t>* ivt, Vvi -энтальпия и объем воздуха поступающего в топку, igr -энтальпия рециркулирующего газа, r*Vgr -объем рециркулирующего газа (r -степень рециркуляции, Vgr -объем газов в точке отбора на рециркуляцию в нм3 на нм3 сжигаемого газа)</t>
  </si>
  <si>
    <t>Ia=Qn+ivt*Vvi+igr*r*Vgr</t>
  </si>
  <si>
    <t>iasm=Ia/Vg</t>
  </si>
  <si>
    <t>Контроль по av:</t>
  </si>
  <si>
    <t>av=1+r_O2*((Vgi*Vgi+Vgr*r*Vgr)/Vg)/(0.21*9.51)</t>
  </si>
  <si>
    <t>av=1+(r_N2*1.01/r_CO2-7.54)/(0.79*9.51)</t>
  </si>
  <si>
    <t xml:space="preserve"> Действующий фрагмент:</t>
  </si>
  <si>
    <t>avt</t>
  </si>
  <si>
    <t>r_H2Ov</t>
  </si>
  <si>
    <t>Vgr</t>
  </si>
  <si>
    <t>Vvi</t>
  </si>
  <si>
    <t>Vgi</t>
  </si>
  <si>
    <t>Vg</t>
  </si>
  <si>
    <t>r_CO2r</t>
  </si>
  <si>
    <t>r_N2r</t>
  </si>
  <si>
    <t>r_H2Or</t>
  </si>
  <si>
    <t>r_O2r</t>
  </si>
  <si>
    <t>ivt</t>
  </si>
  <si>
    <t>igr</t>
  </si>
  <si>
    <t>av</t>
  </si>
  <si>
    <t>Ia</t>
  </si>
  <si>
    <t>iasm</t>
  </si>
  <si>
    <t xml:space="preserve">    *  av_b, av_O2, av_N2 - av, определенный по балансу потоков, по r_O2 и  по r_N2</t>
  </si>
  <si>
    <t xml:space="preserve">   Контроль по av:</t>
  </si>
  <si>
    <t>av_b</t>
  </si>
  <si>
    <t>av_O2</t>
  </si>
  <si>
    <t>av_N2</t>
  </si>
  <si>
    <t>ТЕПЛОПЕРЕДАЧА В ТОПКЕ</t>
  </si>
  <si>
    <t xml:space="preserve">  Эффективная толщина излучающего слоя в топке</t>
  </si>
  <si>
    <t>s=3.6*Vt/Fst</t>
  </si>
  <si>
    <t>м</t>
  </si>
  <si>
    <t xml:space="preserve">  Степень экранирования топки:</t>
  </si>
  <si>
    <t>* Вообще-то в норм методе за 73г используется не "u", а некий хитрый значок, напоминающий "x". Степень экранирования топки u=Hl/Fst; Fst - полная поверхность стен топки.</t>
  </si>
  <si>
    <t>* Hl - Лучевоспринимающая поверхность нагрева настенных и двусветных экранов, находится как величина непрерывной плоскости, эквивалентной по тепловосприятию экрану из незагрезненных труб. Hl=Sum(Fпл*x) - x угловой коэфф. Fst для двусв.экр. =2*b*l, м2.</t>
  </si>
  <si>
    <t xml:space="preserve">  Эффективная степень черноты факела (топочной среды):</t>
  </si>
  <si>
    <t>* ks в 1/(м*кгс/см2)</t>
  </si>
  <si>
    <t>* p - давление (обычно p=1); s - эффективная толщина излучающего слоя в м; ks - коэф ослабления лучей топочной средой.</t>
  </si>
  <si>
    <t>af=1-@Exp(-ks*p*s)</t>
  </si>
  <si>
    <t xml:space="preserve">  При сжигании жидкого и газообразного топлив:</t>
  </si>
  <si>
    <t>* asv и ag - степень черноты, какой бы обладал факел при заполнении всей топки соответственно только светящимся пламенем или только несветящимися трехатомными газами</t>
  </si>
  <si>
    <t>af=nt*asv+(1-nt)*ag</t>
  </si>
  <si>
    <t>* Для открытых и полуоткрытых топок при qv&lt;=350000ккал/(м3*ч) nt=0.1 для газа и 0.55 для жидкого топлива. &lt;В примере норм метода за 1957г qv=124000&gt;.</t>
  </si>
  <si>
    <t>ng=0.1</t>
  </si>
  <si>
    <t>nm=0.55</t>
  </si>
  <si>
    <t>*  rn - суммарная объемная доля трехатомных газов, rn=r_H2O+r_RO2</t>
  </si>
  <si>
    <t>ag=1-@Exp(-kg*rn*p*s)</t>
  </si>
  <si>
    <t>* kg*rn, kc - коэфф ослабления лучей трехатомными газами и сажистыми частицами</t>
  </si>
  <si>
    <t>asv=1-@Exp(-(kg*rn+kc)*p*s)</t>
  </si>
  <si>
    <t>* Было (см. 57г) kg=(0.8+1.6*r_H2O)/(pn*s)^0.5*(1-0.38*T"/1000)</t>
  </si>
  <si>
    <t>*  pn - суммарное парциальное давление трехатомных газов, pn=p*rn</t>
  </si>
  <si>
    <t>kg=((0.78+1.6*r_H2O)/(pn*s)^0.5-0.1)*(1-0.37*T"/1000)</t>
  </si>
  <si>
    <t>kg=((0.78+1.6*r_H2O)/(p*rn*s)^0.5-0.1)*(1-0.37*T"/1000)</t>
  </si>
  <si>
    <t>* В файлах bd*.wq1 есть разные уточнения на этот счет, а старый (57г) вариант: ks=kc=1.6*T"/1000-0.5 -для светящегося пламени жидких и богатых летучими твердых топлив, что уже благополучно устарело.</t>
  </si>
  <si>
    <t>* avt - избыток воздуха в топке; CHr=Cr/Hr - соотношение между содержанием углерода и водорода в рабочей массе (в СH4 это отношение равно 12/4=3, для газа Саратовского месторожднения оно равно ~3.1)</t>
  </si>
  <si>
    <t>kc=0.03*(2-avt)*(1.6*T"/1000-0.5)*CHr</t>
  </si>
  <si>
    <t>При avt&gt;2 kc=0</t>
  </si>
  <si>
    <t xml:space="preserve"> CHr=~3.1?</t>
  </si>
  <si>
    <t>Теплообмен в топке:</t>
  </si>
  <si>
    <t>* Ф-ла (6-25) за 73г или (6-01) за 57г; T", Ta - абсолютная температура и абс теоретич темп-ра на выходе из топки oK; at - степень черноты топки.</t>
  </si>
  <si>
    <t>T"/Ta=Bo^0.6/(Mx*at^0.6+Bo^0.6)</t>
  </si>
  <si>
    <t>* Mx принимается не выше 0.5 (при камерном сжигании); подробности определения Мх см. в файлах bfk_1g.wq1 и rascet.wq1.</t>
  </si>
  <si>
    <t>* Mx при сжигании газа и мазута. Xm - отношение высоты расположения максимума температуры к высоте топки, отсчитываемых от пода топки или средины холодной воронки.</t>
  </si>
  <si>
    <t>Mx=0.54-0.2*Xm</t>
  </si>
  <si>
    <t>газ и мазут; подробности в bfk_1g и rascet.wq1.</t>
  </si>
  <si>
    <t>Критерий Больцмана Bo:</t>
  </si>
  <si>
    <t>* В таком виде записана ф-ла за 57г, но значения j здесь другие. (Было: для газа j=1.0; мазут j=0.9; тв топливо j=0.7, но оказалось, что и чистые поверхности не воспринимают весь тепловой поток, а часть его отражают. Поэтому j и для газа меньше 1.0).</t>
  </si>
  <si>
    <t>* j=Kte/x (см. ниже) - условный коэф загрязнения лучевоспринимающих поверхностей (для газа j=0.65; мазут j=0.55; тв топливо j=0.45, для АШ и Т с Гун&lt;12и8% и зольного, типа экибаст, угля j=0.35); Hl - лучевоспр поверхность нагрева в м2.</t>
  </si>
  <si>
    <t>j=0.65 для газа</t>
  </si>
  <si>
    <t>* В таком виде записана ф-ла за 73г. Она эквивалентна предыдущей ф-ле. Под коэфф тепловой эффективности понимается способность воспринять падающий поток, которая зависит не только от загрязненности и угл. коэфф, но и от отражательной способности поверхн</t>
  </si>
  <si>
    <t>* Kte - средний коэфф тепловой эффективности экранов. Определяется как средневзвешенное Kte=Sum(Ktei*Fsti)/Fst. Ktei=xi*ji (угловой коэфф, умноженный на коэф загрязнения). Коэфф загр j -это условная величина, учитывающая и загрязнения и отражение потока</t>
  </si>
  <si>
    <t>Bo=f*Br*Csr/(4.9E-08*Kte*Fst*Ta^3)</t>
  </si>
  <si>
    <t>* Старый вариант (57г) f=1-q5p/100. Для отдельных участков КА доли q5 принимаются пропорциональными кол-ву тепла, отданным соответствующим газоходом.</t>
  </si>
  <si>
    <t>* hka - КПД КА брутто, q5p=q5 -потери в окр. среду (имя "q5" не подходит, так как совпадает с адресом ячейки q5).</t>
  </si>
  <si>
    <t>f=1-q5p/(hka+q5p)</t>
  </si>
  <si>
    <t>проще:</t>
  </si>
  <si>
    <t>f=1-q5p/100</t>
  </si>
  <si>
    <t xml:space="preserve">   *  B - действительный расход топлива, поступающего в котельный агрегат, в нм3/ч. Для газа q4p=0 и Br=B.</t>
  </si>
  <si>
    <t>Br=B*(1-q4p/100)</t>
  </si>
  <si>
    <t>для газа Br=B</t>
  </si>
  <si>
    <t xml:space="preserve"> * Теоретич теплосод-е продуктов сгорания Ia равно полезному тепловыделениюв топке (все внесенное и выделившееся тепло - без химнедожогов и т.п.), отнесенному к 1нм3 сухого газа</t>
  </si>
  <si>
    <t xml:space="preserve">   *  Средняя теплоемкость продуктов сгорания, отнесенная к 1нм3 сухого газа</t>
  </si>
  <si>
    <t>* Было (57г) at=0.82*af/(af+(1-af)*u*j). Степень экранирования топки u=Hl/Fst; Fst - полная поверхность стен топки.</t>
  </si>
  <si>
    <t>at=af/(af+(1-af)*Kte)</t>
  </si>
  <si>
    <t>Распределение температур по высоте топки:</t>
  </si>
  <si>
    <t xml:space="preserve"> (См. действующий фрагмент в файле bfr_1g.wq1)</t>
  </si>
  <si>
    <t>Тепло, переданное топкой:</t>
  </si>
  <si>
    <t>*  Qtr - тепло в ккал/час, отданное всей поверхности ограничивающих топку труб.</t>
  </si>
  <si>
    <t>Qtr=Br*f*(Ia-I")</t>
  </si>
  <si>
    <t xml:space="preserve">    *  Qkv -кол-во тепла в ккал/ч, переданное котловой воде; a_kv - доля лучевоспринимающей поверхности топки, приходящаяся на экранные трубы.</t>
  </si>
  <si>
    <t>Qkv=a_kv*Qtr</t>
  </si>
  <si>
    <t>* Тепло, переданное пару в пределах топки:</t>
  </si>
  <si>
    <t>Qpt=Qtr-Qkv</t>
  </si>
  <si>
    <t xml:space="preserve">    *   Тепло излучения топки, переданное пару за пределами топки:</t>
  </si>
  <si>
    <t>Qpzt=apzt*Qtr</t>
  </si>
  <si>
    <t>Паропроизводительность котла:</t>
  </si>
  <si>
    <t>* Энтальпия насыщенного пара в ккал/кг</t>
  </si>
  <si>
    <t>inp=675.292-0.019276*P^1.5-4.2803E-06*P^3</t>
  </si>
  <si>
    <t>* Энтальпия воды на линии насыщения в ккал/кг</t>
  </si>
  <si>
    <t>inv=161.307+6.16086*P^0.8-0.0626355*P^1.6+0.000426786*P^2.4</t>
  </si>
  <si>
    <t>* Gr - р-д к-та, рециркулирующего через УСК, Gvpr - р-д этого к-та, отбираемый на впрыск, ivpr -энтальпия этого к-та; Dnas=Db+Gr, где Db - р-д насыщенного пара, поступающего из барабана в ПП. Расходы в кг/ч!</t>
  </si>
  <si>
    <t>Dk=(Qkv+Gr*ivpr-(Gr-Gvpr)*inp)/(inp+y/100*inv-(1+y/100)*ipv)</t>
  </si>
  <si>
    <t>*! Присос воздуха в топку будет условно подмешан к газовому потоку за пределами излучения топки.</t>
  </si>
  <si>
    <t xml:space="preserve">   *  Температура и энтальпия пара и дым газов, обусловленные излучением топки (излучение частично выходит и за пределы топки)</t>
  </si>
  <si>
    <t>t и i пара/газа за счет тепла излучения топки:</t>
  </si>
  <si>
    <t>* dY=0.2; диапазон для перегретого пара по t широкий, по Р - от 80 до 120 ата, но в дальнейшем не помешает перепроверить.</t>
  </si>
  <si>
    <t>tp=3074.3-3.1077*P-2.3864*10^7*ip^-1.3+22437.3*P*ip^-1.3+0.0041697*P^2+4.8476*10^10*ip^-2.6-177649*P^2*ip^-2.6</t>
  </si>
  <si>
    <t>Db=Dk-Gvpr</t>
  </si>
  <si>
    <t>* Энтальпия пара на выходе из поверхности нагрева, ограничивающей топку.</t>
  </si>
  <si>
    <t>ipt=(Qpt+Db*inp)/Db</t>
  </si>
  <si>
    <t>* Температура пара в оС на выходе из поверхности нагрева, ограничивающей топку.</t>
  </si>
  <si>
    <t>tpt=3074.3-3.1077*P-2.3864*10^7*ipt^-1.3+22437.3*P*ipt^-1.3+0.0041697*P^2+4.8476*10^10*ipt^-2.6-177649*P^2*ipt^-2.6</t>
  </si>
  <si>
    <t>* Энтальпия пара на выходе из поверхности нагрева, ограничивающей пределы излучения топки (за пределами топки).</t>
  </si>
  <si>
    <t>ipzt=(Qpzt+Db*ipt)/Db</t>
  </si>
  <si>
    <t>ipzt=((Qpt+Qpzt)+Db*inp)/Db</t>
  </si>
  <si>
    <t>* Температура пара на выходе из поверхности нагрева, ограничивающей пределы излучения топки (за пределами топки).</t>
  </si>
  <si>
    <t>tpzt=3074.3-3.1077*P-2.3864*10^7*ipzt^-1.3+22437.3*P*ipzt^-1.3+0.0041697*P^2+4.8476*10^10*ipzt^-2.6-177649*P^2*ipzt^-2.6</t>
  </si>
  <si>
    <t>* Энтальпия дым газа на выходе из поверхности нагрева, ограничивающей пределы излучения топки. Влияние присоса воздуха на igzt и Vg будет учтено в фрагментах конвективного теплообмена.</t>
  </si>
  <si>
    <t>igzt=(I"-Qpzt/Br)/Vg</t>
  </si>
  <si>
    <t>Энтальпия пит воды после УСК:</t>
  </si>
  <si>
    <t>*  Gpv*dipv=Gr*dir; ipv=ipvn+Gr*(inp-ivpr)/Gpv. Gr - расход насыщ пара, циркулирующего через УСК</t>
  </si>
  <si>
    <t>ipv=ipvn+Gr*(inp-ivpr)/Gpv</t>
  </si>
  <si>
    <t xml:space="preserve"> Действующий фрагмент "ТОПКА":</t>
  </si>
  <si>
    <t xml:space="preserve">  **  Этот фрагмент "Объемы и тепловыделения в топке" уже был представлен выше, здесь он повторен в качестве составной части фрагмента работы топки</t>
  </si>
  <si>
    <t xml:space="preserve">  Объемы/состав, рециркуляция, тепловыделение в топке:</t>
  </si>
  <si>
    <t xml:space="preserve">    Теоретич. (адиабатич.) температура сгорания газа:</t>
  </si>
  <si>
    <t>* Предпологается что присос в топку будет учтен уже после выхода из нее, так как этот поток присоса в основном байпасный. Впрочем, возможны и др. варианты учета этого присоса.</t>
  </si>
  <si>
    <t>iasm!</t>
  </si>
  <si>
    <t>Степень черноты топки:</t>
  </si>
  <si>
    <t>s</t>
  </si>
  <si>
    <t>nt</t>
  </si>
  <si>
    <t>p</t>
  </si>
  <si>
    <t>Ta</t>
  </si>
  <si>
    <t>Kte</t>
  </si>
  <si>
    <t>kg</t>
  </si>
  <si>
    <t>kc</t>
  </si>
  <si>
    <t>ag</t>
  </si>
  <si>
    <t>asv</t>
  </si>
  <si>
    <t>af</t>
  </si>
  <si>
    <t>at</t>
  </si>
  <si>
    <t>T"</t>
  </si>
  <si>
    <t xml:space="preserve">   *  Предпологается что присос в топку будет учтен уже после выхода из нее, так как этот поток присоса в основном байпасный. Впрочем, возможны и др. варианты учета этого присоса.</t>
  </si>
  <si>
    <t>Теплосодержание газов на выходе из топки:</t>
  </si>
  <si>
    <t>V_CO2</t>
  </si>
  <si>
    <t>V_N2</t>
  </si>
  <si>
    <t>V_H2O</t>
  </si>
  <si>
    <t>V_O2</t>
  </si>
  <si>
    <t>I"</t>
  </si>
  <si>
    <t>Критерий Больцмана и расчетная т-ра на выходе из топки:</t>
  </si>
  <si>
    <t>Br</t>
  </si>
  <si>
    <t>Mx</t>
  </si>
  <si>
    <t>Fst</t>
  </si>
  <si>
    <t>q5p</t>
  </si>
  <si>
    <t>* a_kv, Qtr, Qkv -вставной фрагмент для расчета количеств переданного топкой тепла, который, при необходимости, можно вынести и использовать вне материнского фрагмента (другие пояснения см под фрагментом).</t>
  </si>
  <si>
    <t>f</t>
  </si>
  <si>
    <t>Csr</t>
  </si>
  <si>
    <t>Bo</t>
  </si>
  <si>
    <t>T!"</t>
  </si>
  <si>
    <t>a_kv</t>
  </si>
  <si>
    <t>apzt</t>
  </si>
  <si>
    <t>Qtr</t>
  </si>
  <si>
    <t>Qkv</t>
  </si>
  <si>
    <t>Qpt</t>
  </si>
  <si>
    <t>Qpzt</t>
  </si>
  <si>
    <t>ivpr</t>
  </si>
  <si>
    <t>Паропроизводительность котла в кг/ч:</t>
  </si>
  <si>
    <t>ipv</t>
  </si>
  <si>
    <t>y</t>
  </si>
  <si>
    <t>Gr</t>
  </si>
  <si>
    <t>Gvpr</t>
  </si>
  <si>
    <t>inp</t>
  </si>
  <si>
    <t>inv</t>
  </si>
  <si>
    <t>Dk</t>
  </si>
  <si>
    <t>t и i пара/газа за пределами излучения топки:</t>
  </si>
  <si>
    <t>Db</t>
  </si>
  <si>
    <t>ipzt</t>
  </si>
  <si>
    <t>tpzt</t>
  </si>
  <si>
    <t>igzt</t>
  </si>
  <si>
    <t xml:space="preserve">    *  Температура насыщения tnas приведена для дополнительного контроля правильности tpzt -температуры пара в оС за пределами, где условно заканчивается влияние излучения топки</t>
  </si>
  <si>
    <t>tnas</t>
  </si>
  <si>
    <t>*! Присос воздуха в топку будет условно подмешан к газовому потоку</t>
  </si>
  <si>
    <t>за пределами, где условно заканчивается влияние излучения топки,</t>
  </si>
  <si>
    <t>то есть в разделе конвективного теплообмена.</t>
  </si>
  <si>
    <t xml:space="preserve">  Конец фрагмента "ТОПКА"</t>
  </si>
  <si>
    <t xml:space="preserve">   *  Для незапыленного (чисто газового) потока</t>
  </si>
  <si>
    <t>* ТВП - трубчатый воздухоподогреватель.</t>
  </si>
  <si>
    <t xml:space="preserve">  Пар и вода, а также дым газ в ТВП проходят внутри труб (продоль-</t>
  </si>
  <si>
    <t>* Это информация со слов Чернышова В.И.</t>
  </si>
  <si>
    <t>* УСК - установка для приготовления собственного конденсата (тип труба в трубе).</t>
  </si>
  <si>
    <t xml:space="preserve">   Теплообмен за пределами влияния излучения топки:</t>
  </si>
  <si>
    <t xml:space="preserve"> * По учету Hl и x см rascet.wq1 подраздел ДОП-Я К ТЕПЛООБМЕHУ В ТОПКЕ (Hl -лучевоспр поверхность, х -угловой коэфф (кол-во воспринятого излучением тепла, отнесенное к теплу, которое было бы воспринято непрерывной поверхностью с той же температурой))</t>
  </si>
  <si>
    <t xml:space="preserve">   *  k - коэф теплопередачи ккал/(м2*час*град)</t>
  </si>
  <si>
    <t xml:space="preserve">    *  Стр. 51 норм метода за 1957г. Условная температура пароводяной смеси равна tнасыщения (tкипения) плюс полразности энтальпий смеси и энталпии кипящей воды. Применяется для расчета кипящих экономайзеров при доле пара на выходе эк-ра =&lt;30%</t>
  </si>
  <si>
    <t>* В примере норм р-та за 57г обычно используется ф-ла k=a1s/(1+(e+1/a2s)*a1s).</t>
  </si>
  <si>
    <t>* a1s, a2s -коэф теплоотдачи от греющей среды к стенке и от ст к нагреваемой среде; e -коэф загрязнения стенок. e=dz/hz+dn/hn -толщина на коэф тепопроводности ккал/(м*час*град) золы или накипи. Для газа e=~0.005, м2*час*град/ккал, -детали см rascet.wq1</t>
  </si>
  <si>
    <t>* ee - коэф использования поверхности нагрева (применяется в расчетах 2-й и 1-й ступени воздухоподогревателя - в норм примере за 1957г стр.144 и 148 для 2-й и 1-й ст.  ee=0.75, а член теплопередачи излучением -см ниже- al отсутствует)</t>
  </si>
  <si>
    <t>* Согласно норм примера за 1957г стр. 144 и 148 для воздухоподогревателя член излучения не учитывается (al=0)</t>
  </si>
  <si>
    <t>* wn - коэф неполноты омывания (обычно wn=1); ak, al - коэф теплоотдачи конвекцией и излучением</t>
  </si>
  <si>
    <t>* Для вод экономайзера значением a2s пренебрегают. В первом приближении можно пренебречь и зн-м a2s для паропер-ля. Более точные соотношения для a2s см. ниже или в файле rascet.wq1.</t>
  </si>
  <si>
    <t>* ak' - то же, что ak (коэф теплоотдачи конвекцией); при теплопередаче от стенки к нагреваемой среде член теплопередачи излучением отсутствует</t>
  </si>
  <si>
    <t>1/a2s=~1/1700 для ПП (Р=100ата) и 1/a2s=~0.0 для ВЭ</t>
  </si>
  <si>
    <t>* akg, akv - ak для дым газа и воздуха</t>
  </si>
  <si>
    <t>k=ee/(1/akg+1/akv)</t>
  </si>
  <si>
    <t xml:space="preserve">  для 1 и 2ст ТВП</t>
  </si>
  <si>
    <t xml:space="preserve">   *  w - cкорость м/сек; wo - скорость при t=0 oC, сответсвующая принятому выражению объемов газов (они обычно даются в объемах при t=0) </t>
  </si>
  <si>
    <t xml:space="preserve">   *  Vg - объем газов в нм3 на нм3 сжигаемого газа; Fc - площадь сечения для прохода газов в м2.</t>
  </si>
  <si>
    <t xml:space="preserve">   *  Str и St - параметры, имеющие постоянное значение для данного структурного элемента, их определение см. в файле bfk_1g.wq1. Формулы Cf=f(t) для воздуха и f(r_H2O,t) для дым газов см. ниже.</t>
  </si>
  <si>
    <t>ak=Str*Cf*w^St</t>
  </si>
  <si>
    <t xml:space="preserve">  Для ВЭ:</t>
  </si>
  <si>
    <t>* Стр. 41 норм метода за 1957г. tst - температура стенки</t>
  </si>
  <si>
    <t xml:space="preserve">tst=~(tгаза+tвоздуха)/2 </t>
  </si>
  <si>
    <t xml:space="preserve">tst=~tpv+100 </t>
  </si>
  <si>
    <t xml:space="preserve">  Более общая ф-ла для T в оК:</t>
  </si>
  <si>
    <t>* Сравни с Q=k*H*dt/Br; Tsr - средняя температура среды, протекающей внутри труб. e - коэф загрязнения</t>
  </si>
  <si>
    <t>Tst=Tsr+(e+1/a2s)*Q*Br/H</t>
  </si>
  <si>
    <t>Уточнения для ПП (пар):</t>
  </si>
  <si>
    <t>* de - эквивалентный диаметр в м (подробности в файле rascet.wq1)</t>
  </si>
  <si>
    <t>a2s=(-3.75+0.05776*t+0.2713*P^1.4-0.00031165*t*P^1.4)/de^0.2*w^0.8</t>
  </si>
  <si>
    <t>* Str - фактор, мало зависящий от изменения t и P в широких пределах, поэтому его достаточно вычислить только один раз при заданном D (например, при номинальном значении D).</t>
  </si>
  <si>
    <t>a2s=~Str*D^0.8</t>
  </si>
  <si>
    <t>Str=a2s/Dnom^0.8</t>
  </si>
  <si>
    <t>* р-д пара D в кг/ч</t>
  </si>
  <si>
    <t xml:space="preserve"> для норм примера за 1957г</t>
  </si>
  <si>
    <t xml:space="preserve"> Str=0.1171</t>
  </si>
  <si>
    <t>a2s=0.1171*D^0.8</t>
  </si>
  <si>
    <t>* Степень St=4 для запыленного потока, т.е. при учете излучения золы. Для газов и жидких топлив поток считается незапыленным и St=3.6</t>
  </si>
  <si>
    <t xml:space="preserve">* Ф-ла (7-41) норм метода за 1957г. ast - степень черноты лучевоспринимающих стенок (для котлов ast=0.82); Tg, Tst - абс температуры газа и стенок; as - степень черноты потока газов. </t>
  </si>
  <si>
    <t>al=4.9E-08*(ast+1)/2*as*Tg^3*(1-(Tst/Tg)^3.6)/(1-Tst/Tg)</t>
  </si>
  <si>
    <t>)  ast=0.82</t>
  </si>
  <si>
    <t>al=4.9E-08*(0.82+1)/2*as*Tg^3*(1-(Tst/Tg)^3.6)/(1-Tst/Tg)</t>
  </si>
  <si>
    <t>* s=3.6*Vs/Fst; Vs - объем излучающего слоя в м3; Fst - площадь ограждающих его поверхностей в м2.</t>
  </si>
  <si>
    <t xml:space="preserve">   *   p - давление (обычно p=1); s - эффективная толщина излучающего слоя в м; ks - коэф ослабления лучей излучающей средой (cравни с топкой). Определение s см. в файде bfk_1g.wq1.</t>
  </si>
  <si>
    <t>* Как и для топки (см.выше)</t>
  </si>
  <si>
    <t>as=1-@Exp(-kg*rn*p*s)</t>
  </si>
  <si>
    <t>kg=((0.78+1.6*r_H2O)/(p*rn*s)^0.5-0.1)*(1-0.37*Tg/1000)</t>
  </si>
  <si>
    <t>Определение Cf и St:</t>
  </si>
  <si>
    <t>* Cf для воздуха</t>
  </si>
  <si>
    <t>St=0.64</t>
  </si>
  <si>
    <t>* Cf для газа</t>
  </si>
  <si>
    <t>St=0.6</t>
  </si>
  <si>
    <t xml:space="preserve">   При продольном омывании дым газами поверх нагрева:</t>
  </si>
  <si>
    <t>St=0.8</t>
  </si>
  <si>
    <t xml:space="preserve">  В более общем плане, параметры Str и H в ф-лах </t>
  </si>
  <si>
    <t xml:space="preserve"> ak=Str*Cf*w^St</t>
  </si>
  <si>
    <t>и Q=k*H*dt/Br</t>
  </si>
  <si>
    <t xml:space="preserve"> могут использоваться как достаточно простые наст-</t>
  </si>
  <si>
    <t>роечные параметры модели и в частности корректироваться по данным</t>
  </si>
  <si>
    <t>испытаний или эксплуатационных замеров, обеспечивая новую идеоло-</t>
  </si>
  <si>
    <t>**Дело в том,что структурные параметры являются по сути полуэмпирическими, поэтому опред-е их правильных зн-й может оказаться достаточно сложным. Однако с математической точки зрения параметры Str и H являются лишь некими константами и не более того.</t>
  </si>
  <si>
    <t>гию использования результатов испытаний и экспл. данных. Подробнее</t>
  </si>
  <si>
    <t>о вариантах определения и использования структурных параметров см.</t>
  </si>
  <si>
    <t>в файле bfk_1g.wq1.</t>
  </si>
  <si>
    <t>Количество тепла, переданное на теплопередающем участке:</t>
  </si>
  <si>
    <t>Qf=Q*f</t>
  </si>
  <si>
    <t>Применительно к саратовскому газу:</t>
  </si>
  <si>
    <t xml:space="preserve">  Смешение дым газа с присосом воздуха:</t>
  </si>
  <si>
    <t>* dVv -объем присасываемого воздуха в нм3 на нм3 сжигаемого газа; dav -размер присоса воздуха, r_H2OV -объемная влажность воздуха.</t>
  </si>
  <si>
    <t>dVv=dav*9.51/(1-r_H2Ov)</t>
  </si>
  <si>
    <t xml:space="preserve">    *  Vgn -начальный (до смешения) объем газов в нм3/нм3</t>
  </si>
  <si>
    <t>Vg=Vgn+dVv</t>
  </si>
  <si>
    <t>r_CO2=r_CO2n*Vgn/Vg</t>
  </si>
  <si>
    <t>r_N2=(r_N2n*Vgn+0.79*dVv)/Vg</t>
  </si>
  <si>
    <t>r_O2=(r_O2n*Vgn+0.21*dVv)/Vg</t>
  </si>
  <si>
    <t>r_H2O=(r_H2On*Vgn+r_H2Ov*dVv)/Vg</t>
  </si>
  <si>
    <t xml:space="preserve">   *  ig, iv -энтальпия одного нм3 дым газа или воздуха</t>
  </si>
  <si>
    <t>ig=(ign*Vgn+iv*dVv)/Vg</t>
  </si>
  <si>
    <t xml:space="preserve">  Энтальпия газа после теплопередающего участка:</t>
  </si>
  <si>
    <t>* Qf=Q*f, f -коэфф сохранения тепла</t>
  </si>
  <si>
    <t>ig=ign-Q/Vg</t>
  </si>
  <si>
    <t xml:space="preserve">  Температура дым газа:</t>
  </si>
  <si>
    <t>* Избыток воздуха</t>
  </si>
  <si>
    <t>* Для продуктов сгорания саратовского газа во влажном воздухе:</t>
  </si>
  <si>
    <t>tg=-17.5+3.51*ig+38.864*av^-0.5-0.30038*ig*av^-0.5+0.0044766*ig^2-23.072/av-5.8066E-05*ig^2/av-0.010324*ig^1.9+@if(ig&lt;200,1.6-1.87*ig^0.3+0.2012*av-21.75*r_H2Ov+0.302*ig^0.6,-0.19-0.0006295*ig+0.7193*av^-0.4+41.38*r_H2Ov-0.4254*ig*av^-0.4*r_H2Ov)</t>
  </si>
  <si>
    <t>Энтальпия пара после смешения с впрыском:</t>
  </si>
  <si>
    <t>*! Db -р-д пара из барабана в ПП, Gvpr -р-д к-та пара на впрыск, Dk=Db+Gvpr, но Dk&lt;=Dnas -расхода нас пара, поступающего в барабан, так как часть насыщенного пара рециркулирует барабан-УСК-барабан в размере, обычно превышающем Gvpr.</t>
  </si>
  <si>
    <t>ip=(ipn*Db+ivpr*Gvpr)/Dk</t>
  </si>
  <si>
    <t>Энтальпия пара после теплопередающего участка:</t>
  </si>
  <si>
    <t>* D=Db или Dk</t>
  </si>
  <si>
    <t>ip=ipn+Qf*Br/D</t>
  </si>
  <si>
    <t>Температура перегретого пара:</t>
  </si>
  <si>
    <t xml:space="preserve">   *  tнасыщения -для контроля получаемых данных.</t>
  </si>
  <si>
    <t xml:space="preserve">    *  УСК - установка для приготовления собственного конденсата, идущего на впрыск</t>
  </si>
  <si>
    <t>Энтальпия пит воды после УСК</t>
  </si>
  <si>
    <t>* Gpv*ipv=Gpv*ipvn+Gr*(ipnas-ik)</t>
  </si>
  <si>
    <t>* Gpv - р-д пит воды; Gr - р-д насыщ пара на УСК (Gr&gt;=Gvpr); ipvn -первоначальное зн-е ipv (до УСК); ik -энтальпия к-та УСК.</t>
  </si>
  <si>
    <t>ipv=ipvn+Gr*(ipnas-ik)/Gpv</t>
  </si>
  <si>
    <t>Энтальпия пит воды после теплопередающего участка:</t>
  </si>
  <si>
    <t>ipv=ipvn+Qf*Br/Gpv</t>
  </si>
  <si>
    <t>Температура пит воды:</t>
  </si>
  <si>
    <t>t=7.058+0.37694*ipv^1.2-8.7402E-05*ipv^2.4+5.2177*10^12*ipv^-4*P^-2</t>
  </si>
  <si>
    <t>* tнасыщения -для контроля получаемых данных.</t>
  </si>
  <si>
    <t>Энтальпия и t воздуха после теплопередающего участка:</t>
  </si>
  <si>
    <t>* iv=ivn+Qf*Br/Gv, Gv=Br*Vv. Vv - р-д воздуха в нм3 на нм3 сжигаемого газа</t>
  </si>
  <si>
    <t>iv=ivn+Qf/Vv</t>
  </si>
  <si>
    <t>* Для влажного воздуха при t=0..900 оС:</t>
  </si>
  <si>
    <t>tv=3.2584*iv-0.00087946*iv^2-0.56112*iv*r_H2Ov</t>
  </si>
  <si>
    <t>Фрагменты для участка ПП:</t>
  </si>
  <si>
    <t xml:space="preserve">     *  Strp=0.1171 -структурный параметр для пара: a2s=0.1171*D^0.8</t>
  </si>
  <si>
    <t>D</t>
  </si>
  <si>
    <t>Strp</t>
  </si>
  <si>
    <t>* Тепловой поток, создаваемый греющей средой на участке ее контакта с теплопередающей стенкой. Этот поток расходуется на нагрев нагреваемой среды и потери в окружающ среду согласно коэфф сохранения f.</t>
  </si>
  <si>
    <t xml:space="preserve">  Тепловой поток Q, создаваемый греющей средой:</t>
  </si>
  <si>
    <t>Fc</t>
  </si>
  <si>
    <t>Str</t>
  </si>
  <si>
    <t>St</t>
  </si>
  <si>
    <t>Tst</t>
  </si>
  <si>
    <t>Tg</t>
  </si>
  <si>
    <t>ak</t>
  </si>
  <si>
    <t>a2s</t>
  </si>
  <si>
    <t>e</t>
  </si>
  <si>
    <t>Tsr</t>
  </si>
  <si>
    <t>H</t>
  </si>
  <si>
    <t>ks</t>
  </si>
  <si>
    <t>as</t>
  </si>
  <si>
    <t>al</t>
  </si>
  <si>
    <t>a1s</t>
  </si>
  <si>
    <t>k</t>
  </si>
  <si>
    <t>dt</t>
  </si>
  <si>
    <t>Q</t>
  </si>
  <si>
    <t>Параметры нагреваемой среды:</t>
  </si>
  <si>
    <t>ipn</t>
  </si>
  <si>
    <t>Qf</t>
  </si>
  <si>
    <t>ip</t>
  </si>
  <si>
    <t xml:space="preserve">  Параметры газа после теплопередающего участка:</t>
  </si>
  <si>
    <t>ign</t>
  </si>
  <si>
    <t>ig</t>
  </si>
  <si>
    <t>tg</t>
  </si>
  <si>
    <t>Фрагменты для участка ВЭ:</t>
  </si>
  <si>
    <t>Gpv</t>
  </si>
  <si>
    <t>ipvn</t>
  </si>
  <si>
    <t xml:space="preserve">   *  ak -коэф теплопередачи конвекцией; g и v -символы газа и воздуха.</t>
  </si>
  <si>
    <t>Фрагменты для участка ВП:</t>
  </si>
  <si>
    <t>T в оК; k=ee/(1/akg+1/akv)</t>
  </si>
  <si>
    <t>Fcg</t>
  </si>
  <si>
    <t>Strg</t>
  </si>
  <si>
    <t>Stg</t>
  </si>
  <si>
    <t>wg</t>
  </si>
  <si>
    <t>Cfg</t>
  </si>
  <si>
    <t>akg</t>
  </si>
  <si>
    <t>Fcv</t>
  </si>
  <si>
    <t>ee</t>
  </si>
  <si>
    <t>Strv</t>
  </si>
  <si>
    <t>Stv</t>
  </si>
  <si>
    <t>Tv</t>
  </si>
  <si>
    <t>Vv</t>
  </si>
  <si>
    <t>wv</t>
  </si>
  <si>
    <t>Cfv</t>
  </si>
  <si>
    <t>akv</t>
  </si>
  <si>
    <t>tstC</t>
  </si>
  <si>
    <t>ivn</t>
  </si>
  <si>
    <t>iv</t>
  </si>
  <si>
    <t>tv</t>
  </si>
  <si>
    <t>Фрагменты участков для компоновки в виде строк:</t>
  </si>
  <si>
    <t xml:space="preserve">    *  Strp=0.1171 -структурный параметр для пара: a2s=0.1171*D^0.8</t>
  </si>
  <si>
    <t xml:space="preserve">    *  ak -коэф теплопередачи конвекцией; g и v -символы газа и воздуха. k=ee/(1/akg+1/akv)</t>
  </si>
  <si>
    <t>Фрагмент "ПП прямоток":</t>
  </si>
  <si>
    <t xml:space="preserve">    *  Расчет потока Q ведется по данным параметрам, а также по начальным значения температур газа и среды. Рекурсия осуществляется через Tst (Tстенки). Hачальные значения энтальпий используются за теплопередающим участком -после нахождения Q.</t>
  </si>
  <si>
    <t xml:space="preserve">  Входные параметры для расчета теплового потока Q на теплопередающем участке:</t>
  </si>
  <si>
    <t xml:space="preserve">     * Зн-я, используемые для расчета параметров нагреваемой среды и газа после теплопередающего участка (P,f -для среды; av, r_H2Ov -для газа; расчет ведется на базе найденных зн-й Q)</t>
  </si>
  <si>
    <t xml:space="preserve"> Вход зн-я для  i(Q) и t(Q):</t>
  </si>
  <si>
    <t xml:space="preserve">    *  Расчет потока Q на теплопередающем участке ведется по начальным значения температур газа и среды (рекурсия осуществляется через температуру стенки - Tst). Hачальные значения энтальпий используются за теплопередающим участком -после нахождения Q.</t>
  </si>
  <si>
    <t>Hачальные (входные) зн-я:</t>
  </si>
  <si>
    <t>pg</t>
  </si>
  <si>
    <t xml:space="preserve">    *  Расчет конечных значенийй см правее, но они также представлены рядом с входными зн-ми в целях удобства организации поучасткового расчета.</t>
  </si>
  <si>
    <t xml:space="preserve"> Конечные (выходные) зн-я:</t>
  </si>
  <si>
    <t xml:space="preserve">  Параметры среды после теплопередающего участка:</t>
  </si>
  <si>
    <t>Ny</t>
  </si>
  <si>
    <t>tgC</t>
  </si>
  <si>
    <t>Фрагмент "ПП противоток":</t>
  </si>
  <si>
    <t xml:space="preserve"> Hачальные (входные) зн-я:</t>
  </si>
  <si>
    <t>Фрагмент "ВЭ противоток":</t>
  </si>
  <si>
    <t>Фрагмент "ВП противоток":</t>
  </si>
  <si>
    <t xml:space="preserve">    *  Расчет потока Q ведется по данным параметрам, а также по начальным значения температур газа и среды. Рекурсия здесь не потребовалась, а Tst дана для сведения. Hачальные зн-я энтальпий используются за теплопередающим участком -после нахождения Q.</t>
  </si>
  <si>
    <t xml:space="preserve">     * Зн-я, используемые для расчета параметров нагреваемой среды и газа после теплопередающего участка (r_H2Ov,f -для среды; av, r_H2Ov -для газа; расчет ведется на базе найденных зн-й Q)</t>
  </si>
  <si>
    <t xml:space="preserve">    *  Расчет потока Q на теплопередающем участке ведется по начальным значения температур газа и среды (рекурсия через температуру стенки Tst здесь не нужна). Hачальные значения энтальпий используются за теплопередающим участком -после нахождения Q.</t>
  </si>
  <si>
    <t>tvC</t>
  </si>
  <si>
    <t xml:space="preserve">   **  Пар поступает из барабана на вход ПП1, затем на вход ПП2. Газ из топки поступает в начало ПП2 прямотоком, затем в конец ПП1 противотоком</t>
  </si>
  <si>
    <t>Фрагмент "ПП противоток\прямоток":</t>
  </si>
  <si>
    <t xml:space="preserve"> * За пределами влияния излучения топки</t>
  </si>
  <si>
    <t xml:space="preserve">  Смешение дым газа с присосом воздуха за топкой:</t>
  </si>
  <si>
    <t>dav</t>
  </si>
  <si>
    <t>Vgn</t>
  </si>
  <si>
    <t>r_CO2n</t>
  </si>
  <si>
    <t>r_N2n</t>
  </si>
  <si>
    <t>r_H2On</t>
  </si>
  <si>
    <t>r_O2n</t>
  </si>
  <si>
    <t>dVv</t>
  </si>
  <si>
    <t>Вторая ступень (прямоток)</t>
  </si>
  <si>
    <t>Параметры пара после смешения с впрыском:</t>
  </si>
  <si>
    <t>tp</t>
  </si>
  <si>
    <t>Конец ПП2</t>
  </si>
  <si>
    <t xml:space="preserve">   **  Сравнение с прямоточн схемой при одинаковых входных данных дало разницу между противотоком и прямотоком на уровне ~2.5 по i" пара.Так что разница по i и t не катастрофическая. Прямоток заметно выигрывает по tстенки. Результаты см в bfk_1g.wq1.</t>
  </si>
  <si>
    <t>Первая ступень (противоток)</t>
  </si>
  <si>
    <t xml:space="preserve">  **  Параметры пара на условной границе где заканчивается влияние излучения топки:</t>
  </si>
  <si>
    <t>Параметры пара за пределами топки:</t>
  </si>
  <si>
    <t xml:space="preserve">  Смешение дым газа с присосом воздуха в ПП:</t>
  </si>
  <si>
    <t>Конец ПП1</t>
  </si>
  <si>
    <t>Конец фрагмента "ПП противоток\прямоток":</t>
  </si>
  <si>
    <t xml:space="preserve">  Фрагмент "ступень ВЭ противоток":</t>
  </si>
  <si>
    <t xml:space="preserve">   **  Первая ступень аналогична, но перед ней пит вода проходит через УСК  -установку собственного к-та (на впрыск). Кроме того, Vg может быть меньше, чем для 2ст, из-за отбора на рециркуляцию.</t>
  </si>
  <si>
    <t>Вторая ступень</t>
  </si>
  <si>
    <t>Параметры пит воды:</t>
  </si>
  <si>
    <t>tpv</t>
  </si>
  <si>
    <t xml:space="preserve">    * Значения параметров отвечают 2ст ВЭ. Первая ступень аналогична, но перед ней пит вода проходит через УСК  -установку собственного к-та (на впрыск). Кроме того, Vg может быть меньше, чем для 2ст, из-за отбора на рециркуляцию.</t>
  </si>
  <si>
    <t xml:space="preserve">   Конец фрагмента "ступень ВЭ противоток"</t>
  </si>
  <si>
    <t xml:space="preserve">  Фрагмент "ступень ВП противоток":</t>
  </si>
  <si>
    <t xml:space="preserve">    **  Первая ступень аналогична, но присасываемый воздух менее нагрет в воздухоподогревателе. Кроме того, Vg может быть меньше, чем для 2ст, из-за отбора на рециркуляцию.</t>
  </si>
  <si>
    <t>Параметры воздуха на входе в ступень:</t>
  </si>
  <si>
    <t xml:space="preserve">    *  Присос воздуха из воздушного тракта ступени в газовый условно отнесен к началу ступени</t>
  </si>
  <si>
    <t>Vvn</t>
  </si>
  <si>
    <t>*  Энтальпия присасываемого воздуха берется как среднее между входом и выходом ступени</t>
  </si>
  <si>
    <t xml:space="preserve">    * Значения параметров отвечают 2ст ВП. Первая ступень аналогична, но Vg может быть меньше, чем для 2ст, из-за отбора на рециркуляцию.</t>
  </si>
  <si>
    <t xml:space="preserve">   Конец фрагмента "ступень ВП противоток"</t>
  </si>
  <si>
    <t xml:space="preserve">   **  Газ из топки проходит ПП1, затем ПП2. Пар поступает на вход ПП1 прямотоком, а в ПП2 - навстречу газу противотоком.</t>
  </si>
  <si>
    <t>Фрагмент "ПП прямоток\противоток":</t>
  </si>
  <si>
    <t>Первая ступень (прямоток)</t>
  </si>
  <si>
    <t>Фрагмент участка ПП:</t>
  </si>
  <si>
    <t xml:space="preserve">     * D=Db (Db=Dk-Gvpr).  Strp=0.1171 -структурный параметр для пара: a2s=0.1171*D^0.8</t>
  </si>
  <si>
    <t xml:space="preserve">  Параметры пара после теплопередающего участка:</t>
  </si>
  <si>
    <t>Вторая ступень (противоток)</t>
  </si>
  <si>
    <t xml:space="preserve">     * D=Dk (Dk=Db+Gvpr).  Strp=0.1171 -структурный параметр для пара: a2s=0.1171*D^0.8</t>
  </si>
  <si>
    <t>Конец фрагмента "ПП прямоток\противоток":</t>
  </si>
  <si>
    <t>** Пар может подаваться в начало ступени ПП прямотоком либо навстречу газу противотоком. Переключателем является ключ "KL".  При KL=1 включается прямоток, при KL=2 (или KL не =1) включается противоток.</t>
  </si>
  <si>
    <t xml:space="preserve">    *  Зн-я, необходимые для расчета Tg любого топлива или смеси и р-та коэфф kzl, связанного с излучением золы. Фрагмент дополнительных параметров является самостоятельным, поэтому часть его входных значений может повторять ранее введенные значения.</t>
  </si>
  <si>
    <t xml:space="preserve">  Дополнительные входные значения</t>
  </si>
  <si>
    <t>Параметры газа после теплопередающего участка:</t>
  </si>
  <si>
    <t>Доп параметры для угля, мазута, смесей топлив</t>
  </si>
  <si>
    <t xml:space="preserve">    *  ksm=kzl*mzl -член, дополняющий ks (ks=ks+ksm); Tgn -входное зн-е Tg для расчета kzl</t>
  </si>
  <si>
    <t>ksm</t>
  </si>
  <si>
    <t>Tgn</t>
  </si>
  <si>
    <t xml:space="preserve">    *  Зн-я, необходимые для р-та Tg любого топлива или смеси. Параметр dn, связанный с излучением золы, для ВП не требуется. Фрагмент доп параметров является самостоятельным, поэтому часть его входных значений может повторять ранее введенные значения.</t>
  </si>
  <si>
    <t xml:space="preserve">    *  ksm, kzl, dn, а также Tgn, -т.е. члены, связанные с излучение золы, для ВП не требуются</t>
  </si>
  <si>
    <t>r_RO2n</t>
  </si>
  <si>
    <t>mzln</t>
  </si>
  <si>
    <t>&lt;&lt;Внимание! Ставьте укзатель курсора на звездочку и смотрите примечания, дополнительную информацию и т.д.&gt;&gt;</t>
  </si>
  <si>
    <t xml:space="preserve">  Подробности см. на листе bfk_1g, а также листе rascet</t>
  </si>
  <si>
    <t xml:space="preserve">* dY=0.4; iv=Csv*t. Для влажного воздуха при Cvv, посчитанной по ф-ле Cvv=(1-r_H2Ov)*Csv+r_H2Ov*C_H2O, см в bfk_2g.wq1 </t>
  </si>
  <si>
    <t xml:space="preserve">* dY=0.4; iv=Csv*t. Для влажного воздуха при Cvv посчитанной по ф-ле </t>
  </si>
  <si>
    <t>*! Здесь, как и в извлечениях по 57г, приведены не все данные и оговорки, а в основном только то, что близко к котлам, подобным приведенному в примере расчета за 57г (котлам без наддува с умеренными Dk и теплонапряжением в топке).</t>
  </si>
  <si>
    <t xml:space="preserve"> ТЕПЛ РАСЧЕТ КОТ АГРЕГАТОВ (норм метод), 1973г</t>
  </si>
  <si>
    <t>** Hумерация страниц ксерокопии идут со штрихом: 3', 4', 5' и т.д. Ссылки на эти страницы тоже идут со штрихом, если штриха не будет, то могут подразумеваться страницы собственно Тепл. расчета за 1973г.</t>
  </si>
  <si>
    <t>(Ссылки на ксерокоп извлечения)</t>
  </si>
  <si>
    <t>** Кокс и сажистые частицы вне топки не учитываются как и в норм. методе за 1957г.</t>
  </si>
  <si>
    <t>ТОПКА:</t>
  </si>
  <si>
    <t>* Вообще-то в норм методе используется не "u", а некий хитрый значок, напоминающий "x".</t>
  </si>
  <si>
    <t>* Mx принимается не выше 0.5 (при камерном сжигании)</t>
  </si>
  <si>
    <t>Mx&lt;=0.5</t>
  </si>
  <si>
    <t>газ и мазут</t>
  </si>
  <si>
    <t>* Xg - отношение высоты расположения осей горелок к высоте топки, отсчитываемых от пода топки или средины холодной воронки.</t>
  </si>
  <si>
    <t>Xm=Xg+dX</t>
  </si>
  <si>
    <t>Xg=hg/Ht</t>
  </si>
  <si>
    <t>* При сжигании газа и мазута с избытками воздуха в горелках avg&lt;1. Для котлов Dk&lt;=35 т/ч dX=0.15.</t>
  </si>
  <si>
    <t>dX=2*(1-avg)</t>
  </si>
  <si>
    <t>газ, мазут при avg&lt;1</t>
  </si>
  <si>
    <t>* При применении поворотных горелок поворот на 20 гр вверх соотв dX=0.1, а поворот на 20 гр вниз соотв dX=-0.1. При меньших углах поворота величины dX соответственно интерполируются</t>
  </si>
  <si>
    <t>dX=+-0.1</t>
  </si>
  <si>
    <t>поворот на +-20 градусов</t>
  </si>
  <si>
    <t xml:space="preserve">  При расположении горелок в несколько рядов:</t>
  </si>
  <si>
    <t>* n, B, hg - кол-во горелок, расход через каждую горелку и высота расположения осей горелок в соответствующем ряду (1 -индекс 1-го ряда, 2 -второго и т.д.)</t>
  </si>
  <si>
    <t>hg=(n1*B1*hg1+n2*B2*hg2+...)/(n1*B1+n2*B2+...)</t>
  </si>
  <si>
    <t xml:space="preserve">  Ф-ла из bd2.wq1; адрес C325:</t>
  </si>
  <si>
    <t>* Tm -максимальная температура в оК, To=T" -темп-ра на выходе из топки, оК; Xm -зона T=Tm в м/м по высоте топки.</t>
  </si>
  <si>
    <t>Mx=(3*(1-Xm)/(1-(To/Tm)^3)*To/Ta*(1-To/Ta)*(To/Ta*(1-To/Ta)^2)^(1/3))^0.6</t>
  </si>
  <si>
    <t>* Степень экранирования топки u=Hl/Fst; Fst - полная поверхность стен топки.</t>
  </si>
  <si>
    <t>* Расчет адиабатных температуры и энтальпии, а также объемов образующихся газов при сжигании природного газа.</t>
  </si>
  <si>
    <t xml:space="preserve"> Действующий фрагмент расчета адиабатных t и i, а также Vg:</t>
  </si>
  <si>
    <t>Состав воздуха в %:</t>
  </si>
  <si>
    <t>* С достаточной для дальнейших расчетов точностью можно принять состав воздуха: N2 - 79%; O2 - 21%</t>
  </si>
  <si>
    <t>*  Плотность 1.2928 г/л. Более детальная информация в файле vozdux.wq1</t>
  </si>
  <si>
    <t>N2 - 78.09; O2 - 20.95; инерт. газы - 0.94; CO2 - 0.03</t>
  </si>
  <si>
    <t xml:space="preserve">   *  Стр. 169 норм метода за 1957г. Объемы воздуха и продуктов сгорания Саратовского газа при избытке воздуха аvt=1 в нм3 на нм3 сухого газа</t>
  </si>
  <si>
    <t>Объемы возд и прод сгорания 1нм3 Саратов газа при аvt=1:</t>
  </si>
  <si>
    <t xml:space="preserve"> * Vvo - теоретич (при аvt=1) Vv воздуха; V_RO2o - CO2 и SO2; Vgo - продуктов сгорания (Vg - полный объем продуктов сгорания). CHr=Cr/Hr -соотношение между содержанием C и H в рабочей массе (в СH4 равно 12/4=3).</t>
  </si>
  <si>
    <t>V_RO2o</t>
  </si>
  <si>
    <t xml:space="preserve"> * V_H2Oo посчитан без учета влаги в газообразном топливе</t>
  </si>
  <si>
    <t xml:space="preserve">   *  В данном фрагменте состав воздуха принят N2=79%, O2=21%; влажность газа и воздуха принята равной нулю. Большой потери точности при этих приближениях нет.</t>
  </si>
  <si>
    <t>Объемы возд и прод сгорания 1нм3 Саратов газа при аvt&gt;1:</t>
  </si>
  <si>
    <t>VN2</t>
  </si>
  <si>
    <t>VH2O</t>
  </si>
  <si>
    <t>VO2</t>
  </si>
  <si>
    <t>Тепловыделение возд и прод сгорания 1нм3 Саратов газа:</t>
  </si>
  <si>
    <t>* tvt -tвоздуха, поступающего в топку, Csv и Qvt -его средняя теплоемкость и вносимое им тепло; Ia -полезное тепловыделение. Qvt и Ia относятся к 1нм3 сухого газа. Iasm=Ia/Vg</t>
  </si>
  <si>
    <t>tvt</t>
  </si>
  <si>
    <t>Qvt</t>
  </si>
  <si>
    <t>Iasm</t>
  </si>
  <si>
    <t>** При наличии рециркуляции X=Xi+r*Xr, где Xi -исходное (при отсутствии рецирк.) зн-е X, Xr - его зн-е в точке отбора на рециркуляцию. Iar -энтальпия в точке отбора с учетом вклада работы ДРГ и в пересчете на 1нм3 сжигаемого газа. r -доля рецирк. газа.</t>
  </si>
  <si>
    <t xml:space="preserve"> При рецирк: X=Xi+r*Xr, где X=Vro2, VN2, VH2O, VO2, Vg, avt-1 и Ia.</t>
  </si>
  <si>
    <t>Теоретич. (адиабатич.) температура сгорания газа:</t>
  </si>
  <si>
    <t>* Этот фрагмент продолжает предыдущий фрагмент и заканчивает основной расчет работы топки</t>
  </si>
  <si>
    <t xml:space="preserve"> Действующий фрагмент расчета t и i на выходе из топки:</t>
  </si>
  <si>
    <t xml:space="preserve"> Степень черноты топки:</t>
  </si>
  <si>
    <t>* akv, Qtr, Qkv -вставной фрагмент для расчета количеств переданного топкой тепла, который, при необходимости, можно вынести и использовать вне материнского фрагмента (другие пояснения см под фрагментом).</t>
  </si>
  <si>
    <t xml:space="preserve">   *  Qtr - тепло в ккал/час, отданное всей поверхности ограничивающих топку труб.</t>
  </si>
  <si>
    <t xml:space="preserve">    *  Qkv -кол-во тепла в ккал/ч, переданное котловой воде; akv - доля лучевоспринимающей поверхности топки, приходящаяся на экранные трубы.</t>
  </si>
  <si>
    <t>Qkv=akv*Qtr</t>
  </si>
  <si>
    <t>* Температура по высоте топки, в особенности максимальная температура Tm, может использоваться для расчета максимальных теплонапряжений, выбросов по окислам азота и др.</t>
  </si>
  <si>
    <t>*  Файл rascet, в свою очередь, ссылается на файл bd2.wq1</t>
  </si>
  <si>
    <t>Доп. фрагмент по файлу rascet.wq1 (t по высоте топки):</t>
  </si>
  <si>
    <t>* Tm -максимальная температура в оК, To=T" -темп-ра на выходе из топки, оК; Xm -зона T=Tm в м/м по высоте топки. Tm может использоваться для расчета максимальных теплонапряжений, выбросов по окислам азота и др.</t>
  </si>
  <si>
    <t>Tm=To/(1-3*(1-Xm)/Mx^(1/0.6)*To/Ta*(1-To/Ta)*(To/Ta*(1-To/Ta)^2)^(1/3))^(1/3)</t>
  </si>
  <si>
    <t>* Температура по высоте топки T=f(X); A - эмпирический параметр (коэффициент). Это ф-ла из файла bd2.wq1, ее адрес - D288.</t>
  </si>
  <si>
    <t>T=Ta*A^((1-X)/4)*X^(-Xm*@Ln(To/Ta/A^0.25))*(To/Ta)^X</t>
  </si>
  <si>
    <t>* Рекурсивная ф-ла для нахождения A. Предварительно можно задать A=1. В качестве X и T можно подставить Xm и Tm.</t>
  </si>
  <si>
    <t>A=(T/Ta*(To/Ta)^-X/X^(-Xm*@Ln(To/Ta/A^0.25)))^(4/(1-X))</t>
  </si>
  <si>
    <t>A=</t>
  </si>
  <si>
    <t>Xm=</t>
  </si>
  <si>
    <t>Ta=</t>
  </si>
  <si>
    <t>To=</t>
  </si>
  <si>
    <t>X</t>
  </si>
  <si>
    <t>T</t>
  </si>
  <si>
    <t>* Кол-во насыщ пара в т/ч на выходе из барабана котла (т.е. без учета впрысков)</t>
  </si>
  <si>
    <t>Фрагмент расчета Dk пара в т/ч:</t>
  </si>
  <si>
    <t xml:space="preserve"> * Линия насыщения по Вукаловичу 1958г; P=65..170 кгс/см2, t=280..350 oC.</t>
  </si>
  <si>
    <t xml:space="preserve"> Линия насыщения для пара и воды:</t>
  </si>
  <si>
    <t>* Энтальпия пара ккал/кГ</t>
  </si>
  <si>
    <t>* Энтальпия воды ккал/кГ</t>
  </si>
  <si>
    <t>Dk в кг/ч:</t>
  </si>
  <si>
    <t>* Dk*(inp-ipv)+Dk*inv*y/100=Br*(Ia-I")*f</t>
  </si>
  <si>
    <t>* ipv - энтальпия пит. воды после экономайзера, y -размер продувки в %; Qkv - тепло переданное через экранные трубы котловой воде. inp, inv -энтальпии пара и воды на линии насыщения</t>
  </si>
  <si>
    <t>Dk=Qkv/(inp-ipv+inv*y/100)</t>
  </si>
  <si>
    <t>Тепло, переданное пару в пределах топки:</t>
  </si>
  <si>
    <t xml:space="preserve">   **  Кроме Qtr, небольшая часть излучаемого в топке тепла выходит за пределы топки, проходя первый ряд ограждающих ее паронагревательных труб (труб фестона или пароперегревателя).</t>
  </si>
  <si>
    <t>* Кроме Qtr, небольшая часть излучаемого в топке тепла выходит за пределы топки, проходя первый ряд ограждающих ее паронагревательных труб (труб фестона или пароперегревателя). Эта часть оценивается через x - угловые коэфф. (см файл rascet.wq1)</t>
  </si>
  <si>
    <t xml:space="preserve">   Теплообмен без учета излучения топки:</t>
  </si>
  <si>
    <t xml:space="preserve">   *  Str и St - параметры, имеющие постоянное значение для данного структурного элемента. Cf=f(t) для воздуха и f(r_H2O,t) для дым газов. Формулы для определения Str, St и Cf см. ниже.</t>
  </si>
  <si>
    <t xml:space="preserve">tst=(tгаза+tвоздуха)/2 </t>
  </si>
  <si>
    <t>a2s=0.1171*D^0.8 (D,кг/ч)</t>
  </si>
  <si>
    <t xml:space="preserve"> * Если ssd=(s1+s2)/d&lt;=7, то s=(1.87*ssd-4.1)*d; если 7&lt;ssd&lt;13, то s=2.82*ssd-10.6)*d. Кроме того учитываются излучения свободных (не входящих в пучки) объемов. Подробности см. ниже или в норм методе за 1957г.</t>
  </si>
  <si>
    <t xml:space="preserve">    *?  Стр. 60 норм метода за 1957г. a,b,c -высота, ширина и глубина единичной камеры, образованной двумя соседними ширмами.</t>
  </si>
  <si>
    <t>в т.ч.для ПП:</t>
  </si>
  <si>
    <t>s=3.6*Vs/Fst=1.8/(1/a+1/b+1/c)</t>
  </si>
  <si>
    <t>* Данное пособие (тепловой расчет) составлено с учетом последних на 1980г разработок.</t>
  </si>
  <si>
    <t>* s1 и s2 -поперечный и продольный шаги труб, м; d -их диаметр, м.</t>
  </si>
  <si>
    <t>* lp, lob -глубина (по ходу газов) рассчитываемого пучка и газового объема, м; Tk -температура в оК газов в объеме камеры (перед пакетом).</t>
  </si>
  <si>
    <t xml:space="preserve">   *  По норм методу за 1957г</t>
  </si>
  <si>
    <t>HОМОГРАММЫ конвективного теплообмена:</t>
  </si>
  <si>
    <t>* Здесь диаметр труб d в м - как в формулах файла rascet.wq1 (на номограмме в мм)</t>
  </si>
  <si>
    <t>an=4.24/d^0.36*w^0.64</t>
  </si>
  <si>
    <t>* Str - структурный параметр</t>
  </si>
  <si>
    <t>ak=Str*Cf*w^0.64</t>
  </si>
  <si>
    <t>Str=4.24/d^0.36*Cz</t>
  </si>
  <si>
    <t>Str=4.24/d^0.36*(1.00059+0.22222*Nr^-1.2-7.0707*Nr^-2.4+26.592*Nr^-3.6-29.828*Nr^-4.8)</t>
  </si>
  <si>
    <t>an=4.53/d^0.4*w^0.6</t>
  </si>
  <si>
    <t>ak=Str*Cf*w^0.6</t>
  </si>
  <si>
    <t>Str=4.53/d^0.4*Cz*Cs</t>
  </si>
  <si>
    <t>Str=4.53/d^0.4*(1.0101+0.26308*Nr^-0.7-3.0519*Nr^-1.4+4.50125*Nr^-2.1-2.1226*Nr^-2.8)*(1.7595+0.28035/s1d-0.47676/s2d+0.938/s1d/s2d-1.3253*s1d^-2+0.15628*s2d^-2+0.10158*s1d^-2*s2d^-2-0.5057*s1d^-0.4*s2d^0.6+0.0017279/s1d*s2d^3)</t>
  </si>
  <si>
    <t>*  Поправка на относительную длину вводится только при L/de&lt;50</t>
  </si>
  <si>
    <t>*  F - живое сечение газохода; Um - часть периметра, через которую происходит теплообмен. a и b - поперечные размеры газохода, z - кол-во труб в нем</t>
  </si>
  <si>
    <t>* Здесь de в м (на номограмме в мм). При течении газов  внутри труб de=dвнутр; при течении газов в некруглых трубах и продольном омывании пучков de=4*F/Um; для газохода, заполненного трубами, de=4*a*b/(z*3.14*d)-d.</t>
  </si>
  <si>
    <t>an=2.38/de^0.2*w^0.8</t>
  </si>
  <si>
    <t>ak=Str*Cf*w^0.8</t>
  </si>
  <si>
    <t>Str=2.38/de^0.2*Cl</t>
  </si>
  <si>
    <t>Str=2.38/de^0.2*(0.8326+0.80812*(L/de+1.2)^-0.4)</t>
  </si>
  <si>
    <t>или:</t>
  </si>
  <si>
    <t>Str=2.38/de^0.2*1</t>
  </si>
  <si>
    <t xml:space="preserve"> Итак:</t>
  </si>
  <si>
    <t>* Расположение пучков шахматное, кроме ПП. Расположение пучков в ПП в основном коридорного типа. По словам Чернышова В.И. для ПП это нетипично, хотя может быть это целесобразно для твердого топлива в целях уменьшения налипания золы и золового износа...</t>
  </si>
  <si>
    <t>По норм расчету за 1957г:</t>
  </si>
  <si>
    <t>Nr</t>
  </si>
  <si>
    <t>* Фестон, газовая сторона</t>
  </si>
  <si>
    <t>Фг</t>
  </si>
  <si>
    <t>* Пароперегреватель с газовой стороны. H первой по ходу пара части равна 797 м2, второй 957 м2. Расположение пучков видимо в основном коридорное - точных данных нет.</t>
  </si>
  <si>
    <t>ППг</t>
  </si>
  <si>
    <t>* Вод. экономайзер 2ст с газовой стороны</t>
  </si>
  <si>
    <t>ВЭ2г</t>
  </si>
  <si>
    <t>* Воздухоподогр 2ст с воздушной (междутрубной) стороны</t>
  </si>
  <si>
    <t>ВП2в</t>
  </si>
  <si>
    <t>* Вод. экономайзер 1ст с газовой стороны</t>
  </si>
  <si>
    <t>ВЭ1г</t>
  </si>
  <si>
    <t>* Воздухоподогр 1ст с воздушной (междутрубной) стороны</t>
  </si>
  <si>
    <t>ВП1в</t>
  </si>
  <si>
    <t>* Воздухоподогр 2ст с газовой (внутритрубной) стороны</t>
  </si>
  <si>
    <t>ВП2г</t>
  </si>
  <si>
    <t>* Воздухоподогр 1ст с газовой (внутритрубной) стороны</t>
  </si>
  <si>
    <t>ВП1г</t>
  </si>
  <si>
    <t>* Тепловой поток, создаваемый греющей средой на участке ее контакта с теплопередающей стенкой, может дополняться излучением сосед участка (обычно топки). Этот суммар поток расходуется на нагрев нагреваемой среды и потери в окружающ среду согласно коэф f</t>
  </si>
  <si>
    <t>Температура нагреваемой среды:</t>
  </si>
  <si>
    <t>* dY=0.2; диапазон по t широкий, по Р - от 80 до 120 ата, но в дальнейшем не помешает перепроверить.</t>
  </si>
  <si>
    <t>t=3074.3-3.1077*P-2.3864*10^7*i"^-1.3+22437.3*P*i"^-1.3+0.0041697*P^2+4.8476*10^10*i"^-2.6-177649*P^2*i"^-2.6</t>
  </si>
  <si>
    <t>Qf=(Q+dQ)*f</t>
  </si>
  <si>
    <t>* Br*Qf=D*(i"-i"n); Br*Qf -тепловой поток, передаваемый на данном участке нагреваемой среде; D*(i"-i"n) -прирост энтальпии на расход нагреваемой среды.</t>
  </si>
  <si>
    <t>i"=(Br*Qf+D*i"n)/D</t>
  </si>
  <si>
    <t>i"n</t>
  </si>
  <si>
    <t>dQ</t>
  </si>
  <si>
    <t>* Br*Qf=Gpv*(i'-i'n); Br*Qf -тепловой поток, передаваемый на данном участке нагреваемой среде; Gpv*(i'-i'n) -прирост энтальпии на расход нагреваемой среды.</t>
  </si>
  <si>
    <t>i'=(Br*Qf+Gpv*i'n)/Gpv</t>
  </si>
  <si>
    <t>i'n</t>
  </si>
  <si>
    <t>* tсухого воздуха в зависимости от его энтальпии -для расчета воздухоподогревателя (диапазон t=0..500 оС; при tsv=0 принимается isv=0)</t>
  </si>
  <si>
    <t>tv=3.2591*iv-0.00087119*iv^2</t>
  </si>
  <si>
    <t>* Br*Qf=Gvv*(iv-ivn); Br*Qf -тепловой поток, передаваемый на данном участке нагреваемой среде; Gvv*(iv-ivn) -прирост энтальпии на расход нагреваемой среды. Gvv - объемный расход воздуха в нм3/ч</t>
  </si>
  <si>
    <t>iv=(Br*Qf+Gvv*ivn)/Gvv</t>
  </si>
  <si>
    <t>Gvv</t>
  </si>
  <si>
    <t>Hекоторые соотношения для саратов газа при сухом воздухе:</t>
  </si>
  <si>
    <t xml:space="preserve">   *  Стр. 169 норм метода за 1957г. Объемы воздуха и продуктов сгорания Саратовского газа при избытке воздуха av=1 в нм3 на нм3 сухого газа</t>
  </si>
  <si>
    <t>Объемы возд и прод сгорания 1нм3 Саратов газа при av=1:</t>
  </si>
  <si>
    <t xml:space="preserve"> * Vov - теоретич (при аvt=1) Vv воздуха; Vro2 - CO2 и SO2; Vog - продуктов сгорания (Vg - полный объем продуктов сгорания). CHr=Cr/Hr -соотношение между содержанием C и H в рабочей массе (в СH4 равно 12/4=3).</t>
  </si>
  <si>
    <t>Vov</t>
  </si>
  <si>
    <t>VoCO2</t>
  </si>
  <si>
    <t>* Теплоемкость продуктов сгорания саратовского газа при av=1</t>
  </si>
  <si>
    <t>Cgs=(C_CO2*1.01+C_N2*7.54+C_H2O*2.13)/10.68</t>
  </si>
  <si>
    <t xml:space="preserve">  При av&gt;1:</t>
  </si>
  <si>
    <t>Vg=10.68+(av-1)*9.51</t>
  </si>
  <si>
    <t>* Теплоемкость продуктов сгорания саратовского газа при av&gt;1. Csv -теплоемкость сухого воздуха.</t>
  </si>
  <si>
    <t>Cg=(Cgs*10.68+Csv*9.51*(av-1))/(10.68+9.51*(av-1))</t>
  </si>
  <si>
    <t>ig=Cg*t</t>
  </si>
  <si>
    <t>** dY=0.7; ig -энтальпия одного нм3 продуктов сгорания, av -избыток воздуха. Диапазон t=0..2500 oC, av=1..2.5.  Для продуктов сгорания саратовского газа в сухом воздухе (влажностью воздуха можно пренебречь).</t>
  </si>
  <si>
    <t xml:space="preserve"> Для состава смеси:</t>
  </si>
  <si>
    <t>* X - к-ция/доля; gs относится к продуктам сгорания при av=1, sb - к сухому воздуху.</t>
  </si>
  <si>
    <t>Xsm=(Xgs*10.68+Xsv*9.51*(av-1))/(10.68+9.51*(av-1))</t>
  </si>
  <si>
    <t>или Xsm=(VoX+Xsv*9.51*(av-1))/(10.68+9.51*(av-1))</t>
  </si>
  <si>
    <t xml:space="preserve">  После присоса воздуха dav:</t>
  </si>
  <si>
    <t>a2v=a1v+dav</t>
  </si>
  <si>
    <t>* Vg в нм3 на нм3 сжигаемого газа</t>
  </si>
  <si>
    <t>V2g=V1g+dav*9.51</t>
  </si>
  <si>
    <t>* Vg в нм3 на нм3 сжигаемого газа; ism, ig в ккал на нм3 смеси</t>
  </si>
  <si>
    <t>ism=i2g=(i1g*V1g+ixv*dav*9.51)/V2g</t>
  </si>
  <si>
    <t>Hекоторые соотношения для саратов газа при влажном воздухе:</t>
  </si>
  <si>
    <t>К СH на тягу и дутье:</t>
  </si>
  <si>
    <t xml:space="preserve">  Hа ТЭС, как правило, имеются нормативные характеристики типа</t>
  </si>
  <si>
    <t>Ntd=f(Dk) или Ntd=f(Gbr)</t>
  </si>
  <si>
    <t xml:space="preserve">соответствующие нормативным избыткам воздуха в газо-воздушном </t>
  </si>
  <si>
    <t>тракте. Эти характеристики несложно переложить на компьютер и</t>
  </si>
  <si>
    <t>пересчитать их в зависимости от расхода газа/воздуха - Vnc, вида</t>
  </si>
  <si>
    <t>Ntd=f(Vnc)</t>
  </si>
  <si>
    <t>которые будут пригодными для использования как при нормативных,</t>
  </si>
  <si>
    <t>так и при фактических избытках воздуха и его присосах, если аэро-</t>
  </si>
  <si>
    <t>динамическое сопротивление тракта осталось отвечающим нормативному</t>
  </si>
  <si>
    <t>* Hормативное сопротивление отвечает результатам заводских расчетов либо специальных испытаний - соответствующие материалы должны быть в ПТО.</t>
  </si>
  <si>
    <t>сопротивлению при данном Vnc. Сопротивление соответствует произ-</t>
  </si>
  <si>
    <t>ведению коэфф аэродин. сопр-я на массовый расход среды в квадрате</t>
  </si>
  <si>
    <t>или, точнее, в степени 1.8.</t>
  </si>
  <si>
    <t xml:space="preserve">  Дополнительные соотношения см. в файле bd4.wq1, в т.ч. по нагре-</t>
  </si>
  <si>
    <t>ву в механизмах воздуха или дымового газа:</t>
  </si>
  <si>
    <t>* Cv - средняя теплоемкость воздуха (газа) при  постоянном  давлении, ккал/(нм3*гр); Vnc - производительность вентилятора или дымососа в нм3/с; Nrot  - передаваемая ротору мощность, квт</t>
  </si>
  <si>
    <t>3600*Cv*Vnc*dt=860*Nrot, ккал/ч</t>
  </si>
  <si>
    <t>* Nrot квт; H -полный напор вентилятора или дымососа,кгс/м2; hv -КПД машины с учетом потерь энергии в направляющем аппарате, представляющий собой произведение гидравлического КПД машины и КПД регулирования. Величина hv,% берется по данным исп-й/завода.</t>
  </si>
  <si>
    <t>Nrot=Vnc*(t+273)*H/(1.02*hv*273)</t>
  </si>
  <si>
    <t>Отсюда:</t>
  </si>
  <si>
    <t>dt=8.58*(t+273)*H*10^-4/(Cv*hv)</t>
  </si>
  <si>
    <t>di=8.58*(t+273)*H*10^-4/hv</t>
  </si>
  <si>
    <t>Действующий фрагмент:</t>
  </si>
  <si>
    <t>hv</t>
  </si>
  <si>
    <t>Vnc</t>
  </si>
  <si>
    <t>N</t>
  </si>
  <si>
    <t>di</t>
  </si>
  <si>
    <t>Nyd</t>
  </si>
  <si>
    <t xml:space="preserve">  Это отвечает H=200 для дымососа по Чернышову, а верхняя его </t>
  </si>
  <si>
    <t>оценка по опыту оказалась в два раза большей. Компромиссное зн-е</t>
  </si>
  <si>
    <t xml:space="preserve">для номинал-го Nyd примем (пока): </t>
  </si>
  <si>
    <t>Nynm=0.0018</t>
  </si>
  <si>
    <t>квтч/нм3</t>
  </si>
  <si>
    <t xml:space="preserve">  Для дутьевого вент. получилось di=1.2; Nyd=0.0014. Компромиссное</t>
  </si>
  <si>
    <t>(по Чернышову) знач-е получится:</t>
  </si>
  <si>
    <t>Nynm=0.0021</t>
  </si>
  <si>
    <t xml:space="preserve">  Для ДРГ (д-с рецирк) что-нибудь:</t>
  </si>
  <si>
    <t>Nynm=0.0031</t>
  </si>
  <si>
    <t>Т.к. H пропорционален (Br*Vg)^2 и Nyd=N/(Br*Vg), имеем:</t>
  </si>
  <si>
    <t>Nyd/Nynm=(Br*Vg)^2/(Brnom*Vgnom)^2*(tg+273)/(tgnom+273)*hvnom/hv</t>
  </si>
  <si>
    <t>Nyd=Knn*(Br*Vg)^2*(tg+273)/hv</t>
  </si>
  <si>
    <t>Knn=Nynm/(Brnom*Vgnom)^2/(tgnom+273)*hvnom</t>
  </si>
  <si>
    <t>Что дает:  Knn для ДС 5.2E-15, для ДВ 1.23E-14 и ДРГ 1.8E-13</t>
  </si>
  <si>
    <t>Итак, предварительно:</t>
  </si>
  <si>
    <t>ДС</t>
  </si>
  <si>
    <t>ВД</t>
  </si>
  <si>
    <t>ДРГ</t>
  </si>
  <si>
    <t>Nynm</t>
  </si>
  <si>
    <t>Knn</t>
  </si>
  <si>
    <t xml:space="preserve">  Для дальнейшей развязки надо знать hv=f(Br*Vg), или hv=f(N)=</t>
  </si>
  <si>
    <t>=f(Nyd*Br*Vg) -будет рекурсия, или просто N=f(Br*Vg,tg) -тогда</t>
  </si>
  <si>
    <t>приведенные выкладки для Nyd окажутся излишними. Если все это не</t>
  </si>
  <si>
    <t>известно, то по аналогии с упрощенной зависимостью для воды</t>
  </si>
  <si>
    <t>N=(1-hv/100)*Nnom+hv/100*Nnom/Gnom*G</t>
  </si>
  <si>
    <t>примем линейную зависимость:</t>
  </si>
  <si>
    <t>Nyd=(1-hvnom/100)*Nynm+hvnom/100*Nynm/((Brnom*Vgnom)^2*(tgnom+273))*(Br*Vg)^2*(tg+273)</t>
  </si>
  <si>
    <t>*! Это зависимость только для сравнительно больших нагрузок -при нулевой нагрузке Nyd=бесконечности, что не отвечает данной ф-ле.</t>
  </si>
  <si>
    <t>Nyd=(1-hvnom/100)*Nynm+Knn/100*(Br*Vg)^2*(tg+273)</t>
  </si>
  <si>
    <t xml:space="preserve">   Фрагмент:</t>
  </si>
  <si>
    <t>hvnom</t>
  </si>
  <si>
    <t xml:space="preserve">  P.S. По "физике" получается, что Nyd должно уменьшаться с умень-</t>
  </si>
  <si>
    <t>шением нагрузки. Чернышов и данные по бл.300 УгГРЭС этого не подт-</t>
  </si>
  <si>
    <t>верждают. Видимо, лучше пока оставить Nyd=const.</t>
  </si>
  <si>
    <t>* Методические ук-я по составлению и содержанию энергетических характеристик оборудования тепловых электростанций, 1993г.</t>
  </si>
  <si>
    <t xml:space="preserve">  Значения присосов в газовый тракт определяется по формуле:</t>
  </si>
  <si>
    <t>da=danom*(Qkbr_nom/Qkbr)^0.5</t>
  </si>
  <si>
    <t xml:space="preserve">  Поскольку для разных видов топлив примерно сохраняется одина-</t>
  </si>
  <si>
    <t>ковое соотношение между Qkbr и объемами дым газов:</t>
  </si>
  <si>
    <t>da=danom*(Brnom*Vgnom)^0.5/(Br*Vg)^0.5</t>
  </si>
  <si>
    <t>da=Kan/(Br*Vg)^0.5</t>
  </si>
  <si>
    <t>Kan=danom*(Brnom*Vgnom)^0.5</t>
  </si>
  <si>
    <t xml:space="preserve">  Последняя ф-ла работает при включениях/отключениях рециркуляций.</t>
  </si>
  <si>
    <t xml:space="preserve">  Фрагмент для определения Kan:</t>
  </si>
  <si>
    <t>Тракт</t>
  </si>
  <si>
    <t>Brnom</t>
  </si>
  <si>
    <t>Vgnom</t>
  </si>
  <si>
    <t>danom</t>
  </si>
  <si>
    <t>Kan</t>
  </si>
  <si>
    <t xml:space="preserve">   *  Присос воздуха в топке условно отнесен ко входу в ПП</t>
  </si>
  <si>
    <t>Топка</t>
  </si>
  <si>
    <t>Т</t>
  </si>
  <si>
    <t>ПП 2ст</t>
  </si>
  <si>
    <t>П2</t>
  </si>
  <si>
    <t>ПП 1ст</t>
  </si>
  <si>
    <t>П1</t>
  </si>
  <si>
    <t>ВЭ 2ст</t>
  </si>
  <si>
    <t>Э2</t>
  </si>
  <si>
    <t>ВП 2ст</t>
  </si>
  <si>
    <t>В2</t>
  </si>
  <si>
    <t>ВЭ 1ст</t>
  </si>
  <si>
    <t>Э1</t>
  </si>
  <si>
    <t>ВП 1ст</t>
  </si>
  <si>
    <t>В1</t>
  </si>
  <si>
    <t>Д-сос</t>
  </si>
  <si>
    <t>УТОЧHЕHИЯ К РАСЧЕТУ ОБЪЕМОВ И ТЕПЛОВЫДЕЛЕHИЯ ГАЗОВ В ТОПКЕ:</t>
  </si>
  <si>
    <t>(С учетом влажности воздуха и рециркуляции газов)</t>
  </si>
  <si>
    <t>Действующий фрагмент см. в bfk_2g.wq1</t>
  </si>
  <si>
    <t>V_CO2i=1.01</t>
  </si>
  <si>
    <t>V_N2i=7.54+0.79*(avt-1)*9.51</t>
  </si>
  <si>
    <t>V_H2Oi=2.13+Vvi*r_H2Ov</t>
  </si>
  <si>
    <t>V_O2i=0.21*(avt-1)*9.51</t>
  </si>
  <si>
    <t>Vgi=V_CO2i+V_N2i+V_H2Oi+V_O2i</t>
  </si>
  <si>
    <t xml:space="preserve"> или:</t>
  </si>
  <si>
    <t xml:space="preserve"> Объемные доли прод сгорания 1нм3 Саратов газа при аvt&gt;1 и r=0:</t>
  </si>
  <si>
    <t>r_CO2i=V_CO2i/Vgi</t>
  </si>
  <si>
    <t>r_N2i=V_N2i/Vgi</t>
  </si>
  <si>
    <t>r_H2Oi=V_H2Oi/Vgi</t>
  </si>
  <si>
    <t>r_O2i=V_O2i/Vgi</t>
  </si>
  <si>
    <t>r_CO2i=1.01/Vgi</t>
  </si>
  <si>
    <t>r_N2i=(7.54+0.79*(avt-1)*9.51)/Vgi</t>
  </si>
  <si>
    <t>r_H2Oi=(2.13+Vvi*r_H2Ov)/Vgi</t>
  </si>
  <si>
    <t>r_O2i=0.21*(avt-1)*9.51/Vgi</t>
  </si>
  <si>
    <t>в т.ч:</t>
  </si>
  <si>
    <t xml:space="preserve"> avt=1+r_O2i*Vgi/(0.21*9.51)</t>
  </si>
  <si>
    <t>Vgi=1.01/r_CO2i</t>
  </si>
  <si>
    <t xml:space="preserve"> avt=1+r_O2i*1.01/(r_CO2i*0.21*9.51)</t>
  </si>
  <si>
    <t xml:space="preserve">    *  Vgc -средневзвешенное от Vgi и Vgr</t>
  </si>
  <si>
    <t>Vgc=(Vgi*Vgi+Vgr*r*Vgr)/Vg</t>
  </si>
  <si>
    <t>* Так как r_CO2=(r_CO2i*Vgi+r_CO2r*r*Vgr)/Vg и r_CO2i=V_CO2i/Vgi</t>
  </si>
  <si>
    <t>r_CO2=(V_CO2i+r_CO2r*r*Vgr)/Vg</t>
  </si>
  <si>
    <t>r_N2=(V_N2i+r_N2r*r*Vgr)/Vg</t>
  </si>
  <si>
    <t>r_H2O=(V_H2Oi+r_H2Or*r*Vgr)/Vg</t>
  </si>
  <si>
    <t>r_O2=(V_O2i+r_O2r*r*Vgr)/Vg</t>
  </si>
  <si>
    <t xml:space="preserve">    *  av -избыток воздуха в топке после смешения с продуктами рециркуляции; Vgc -см выше -средневзвешенное от Vgi и Vgr</t>
  </si>
  <si>
    <t>av=1+r_O2*Vgc/(0.21*9.51)</t>
  </si>
  <si>
    <t xml:space="preserve">  **  Ф-ла на все случаи смешения потоков в топке и по газовому тракту применительно к сжиганию саратовского газа.</t>
  </si>
  <si>
    <t>av=1+(r_N2*Vg-7.54)/(0.79*9.51)</t>
  </si>
  <si>
    <t xml:space="preserve">   *  Для дополнительного контроля по av</t>
  </si>
  <si>
    <t>* Gr - р-д к-та, рециркулирующего через УСК, Gvpr - р-д этого к-та, отбираемый на впрыск, ivpr -энтальпия этого к-та; Dnas=Db+Gr, где Db - р-д насыщенного пара, поступающего из барабана в ПП.</t>
  </si>
  <si>
    <t>Gpv*ipv+Gr*ivpr+Qkv=Dnas*inp+Gy*inv</t>
  </si>
  <si>
    <t xml:space="preserve">  Расходы в кг/ч</t>
  </si>
  <si>
    <t>Gy=Dk*y/100</t>
  </si>
  <si>
    <t xml:space="preserve"> Gpv=Dk*(1+y/100)</t>
  </si>
  <si>
    <t xml:space="preserve"> Dnas=Dk+Gr-Gvpr</t>
  </si>
  <si>
    <t>Dk*(1+y/100)*ipv+Gr*ivpr+Qkv=Dk*inp+(Gr-Gvpr)*inp+Dk*y/100*inv</t>
  </si>
  <si>
    <t>Dk*(inp+y/100*inv-(1+y/100)*ipv)=Qkv+Gr*ivpr-(Gr-Gvpr)*inp</t>
  </si>
  <si>
    <t xml:space="preserve">   *   Dvgr -расход пара, отбираемого из барабана на установку приготовления конденсата, идущего на впрыск.</t>
  </si>
  <si>
    <t xml:space="preserve">    ** Варианты могут быть использованы при неизветстных значениях w и структурных факторов, в т.ч. на основе известных номинальных/справочных значений ak или значений ak, известных по данным испытаний.</t>
  </si>
  <si>
    <t>Варианты для определения ak и параметра Str:</t>
  </si>
  <si>
    <t>ak=Str/(3600*Fc)^St*Cf*((t+273)/273)^St*(Br*Vg)^St</t>
  </si>
  <si>
    <t>Str'=Str/(3600*Fc)^St</t>
  </si>
  <si>
    <t>Cf'=Cf*((t+273)/273)^St</t>
  </si>
  <si>
    <t xml:space="preserve">   **  Для воздуха аналогично: ak=Str'*Cf'*(Br*Vv)^St</t>
  </si>
  <si>
    <t>ak=Str'*Cf'*(Br*Vg)^St</t>
  </si>
  <si>
    <t xml:space="preserve">  если известно зн-е ak при заданных/номинальных параметрах, то</t>
  </si>
  <si>
    <t>Str'=akn/(Cf'n*(Brn*Vgn)^St)</t>
  </si>
  <si>
    <t xml:space="preserve">  Можно также задаться Fcy - условным/правдоподобным зн-м Fc.</t>
  </si>
  <si>
    <t>Тогда:</t>
  </si>
  <si>
    <t xml:space="preserve"> wy=Br*Vg/(3600*Fcy)*(t+273)/273</t>
  </si>
  <si>
    <t>ak=Stry*Cf*wy^St</t>
  </si>
  <si>
    <t>Stry=akn/(Cfn*wyn^St)</t>
  </si>
  <si>
    <t>гию использования результатов испытаний и экспл. данных.</t>
  </si>
  <si>
    <t>Результаты работы ПП по прямоточной</t>
  </si>
  <si>
    <t xml:space="preserve">  и противоточной схемам (кол-во участков =5):</t>
  </si>
  <si>
    <t xml:space="preserve">   **  Согласно расчету прямоток несколько уступает противотоку по экономичности (~2.5 ккал/кг по i" пара), но заметно выигрывает по равномерности tst - температуры стенки.</t>
  </si>
  <si>
    <t xml:space="preserve">  Пароперегр. -прямоток</t>
  </si>
  <si>
    <t>* Ny -номер участка ПП по ходу пара; tst, tg, tp - температура в oC стенки, газа и пара (Рпара=100ата); dt=tg-tp; Q -кол-во тепла, переданного на данном участке.</t>
  </si>
  <si>
    <t xml:space="preserve"> * Температура на выходе ПП tg=702.6 и tp=531.29 против tg=704.31 и tp=526 при противотоке</t>
  </si>
  <si>
    <t xml:space="preserve">  Пароперегр. -противоток</t>
  </si>
  <si>
    <t>** Однако многие ф-лы сложно использовать из-за потерь в ВП</t>
  </si>
  <si>
    <t xml:space="preserve"> Hекоторые доп соотношения в связи с рецирк д.газов через ВП</t>
  </si>
  <si>
    <t xml:space="preserve">  Требуемое содержание O2 в горелках:</t>
  </si>
  <si>
    <t>VO2=0.21*(avg-1)*9.51</t>
  </si>
  <si>
    <t>Vg=10.68+(avg-1)*9.51</t>
  </si>
  <si>
    <t>r_O2=0.21*(avg-1)*9.51/(10.68+(avg-1)*9.51)</t>
  </si>
  <si>
    <t>При влажном воздухе:</t>
  </si>
  <si>
    <t>Vg=10.68+(avg-1)*9.51+avg*9.51*r_H2Ov/(1-r_H2Ov)</t>
  </si>
  <si>
    <t>r_O2=0.21*(avg-1)*9.51/(10.68+(avg-1)*9.51+avg*9.51*r_H2Ov/(1-r_H2Ov))</t>
  </si>
  <si>
    <t>В общем случае:</t>
  </si>
  <si>
    <t>r_O2=0.21*(avg-1)*$Vvo/($Vgo+(avg-1)*$Vvo+avg*$Vvo*r_H2Ov/(1-r_H2Ov))</t>
  </si>
  <si>
    <t>* Подробнее см. в фрагменте топки.</t>
  </si>
  <si>
    <t xml:space="preserve">  Для сведения/напоминания -сгорание саратов газа:</t>
  </si>
  <si>
    <t xml:space="preserve">  Требуемый объем воздуха на вход в дутьевой вентилятор</t>
  </si>
  <si>
    <t xml:space="preserve">  *   Объем д.газов на рецирк; r -рецирк; Vgr -объем газов за точкой их отбора на рецирк</t>
  </si>
  <si>
    <t>dVr=r*Vg2r</t>
  </si>
  <si>
    <t>r_O2r*dVr+0.21*(Vv-9.51)=r_O2*(10.68+(Vv-9.51)+dVr)</t>
  </si>
  <si>
    <t>r_O2r*dVr+0.21*Vv-0.21*9.51=r_O2*(10.68-9.51+dVr)+r_O2*Vv</t>
  </si>
  <si>
    <t>0.21*Vv-r_O2*Vv=r_O2*(10.68-9.51+dVr)-r_O2r*dVr+0.21*9.51</t>
  </si>
  <si>
    <t>Vv=(r_O2*(10.68-9.51+dVr)-r_O2r*dVr+0.21*9.51)/(0.21-r_O2)</t>
  </si>
  <si>
    <t>r_O2r*dVr+0.21*(1-r_H2Ov)*(Vv-9.51/(1-r_H2Ov))=r_O2*(10.68+(Vv-9.51)+dVr)</t>
  </si>
  <si>
    <t>r_O2r*dVr+0.21*(Vv*(1-r_H2Ov)-9.51)=r_O2*(10.68+(Vv-9.51)+dVr)</t>
  </si>
  <si>
    <t>Vv=(r_O2*(10.68-9.51+dVr)-r_O2r*dVr+0.21*9.51)/(0.21*(1-r_H2Ov)-r_O2)</t>
  </si>
  <si>
    <t>Vv=(r_O2*($Vgo-$Vvo+dVr)-r_O2r*dVr+0.21*$Vvo)/(0.21*(1-r_H2Ov)-r_O2)</t>
  </si>
  <si>
    <t>Однако эти ф-лы сложно использовать из-за потерь в ВП</t>
  </si>
  <si>
    <t>(для условного топлива)</t>
  </si>
  <si>
    <t xml:space="preserve">   ** Файл и сопровождающий его текст был первоначально записан применительно к сжиганию природного, в особенности саратовского, газа. Файл был переработан с частичным использованием автоматических средств, поэтому в нем не исключены устаревшие пояснения</t>
  </si>
  <si>
    <t>Возможны отдельные неточности в комментариях!</t>
  </si>
  <si>
    <t>** Эти данные имеют зарезервированные имена Vvo, V_RO2o и т.д. Они входят в формулы и в действующие здесь фрагменты в закрепленном виде ($Vvo, $V_RO2o и т.д.).</t>
  </si>
  <si>
    <t xml:space="preserve">   ВHИМАHИЕ - ЭТО ДЕЙСТВУЮЩИЕ ИСХОДHЫЕ ДАHHЫЕ!</t>
  </si>
  <si>
    <t xml:space="preserve"> * Объемы сухого воздуха и продуктов сгорания 1нм3 сухого газа или 1кг топлива при аvt=1. </t>
  </si>
  <si>
    <t xml:space="preserve">  Объемы сух возд и прод сгорания 1нм3 или 1кг при аvt=1:</t>
  </si>
  <si>
    <t xml:space="preserve"> * Sti -показатель степени в ф-ле al=4.9E-08*(0.82+1)/2*as*Tg^3*(1-(Tst/Tg)^Sti)/(1-Tst/Tg), равный 3.6 или 4.0 для незапыленного (газ/мазут) и запыленного (уголь) потоков; для смеси топлив берется средневзвешенное зн-е Sti.</t>
  </si>
  <si>
    <t xml:space="preserve"> * Символ "o" относится к avt=1. Vvo -объем воздуха Vv при аvt=1; Vgo -полный объем продуктов сгорания Vg при avt=1. CHr=Cr/Hr -соотношение между содержанием C и H в рабочей массе (в СH4 равно 12/4=3). mzlo - к-ция золы вверху топки при рециркуляции r=0</t>
  </si>
  <si>
    <t>Qnp</t>
  </si>
  <si>
    <t>mzlo</t>
  </si>
  <si>
    <t>Sti</t>
  </si>
  <si>
    <t>Активные данные можно изменять, но нельзя уничтожать!</t>
  </si>
  <si>
    <t xml:space="preserve">  Внимание! Для сохранения общности расчетов низшая теплота сго-</t>
  </si>
  <si>
    <t>рания Qn заменена Qnp - полезной теплотой сгорания, равной Qn за</t>
  </si>
  <si>
    <t>вычетом потерь на мех недожог, тепло шлака и т.п. Однако потери в</t>
  </si>
  <si>
    <t xml:space="preserve">окружающую среду учитываются не в Qnp, а коэффициентом сохранения </t>
  </si>
  <si>
    <t>тепла - коэфф. f.</t>
  </si>
  <si>
    <t>* a_RO2=a_CO2+a_SO2. Для расчета i_RO2 используется ф-ла для i_CO2, что не вносит существенной погрешности в расчеты энтальпий.</t>
  </si>
  <si>
    <t>a_RO2</t>
  </si>
  <si>
    <t>i_RO2</t>
  </si>
  <si>
    <t>Объемы сух возд и прод сгорания 1нм3 или 1кг топлива при аvt=1:</t>
  </si>
  <si>
    <t xml:space="preserve">  Объемы возд и прод сгорания 1нм3 или 1кг при аvt&gt;1 и r=0:</t>
  </si>
  <si>
    <t>Vvi=avt*$Vvo/(1-r_H2Ov)</t>
  </si>
  <si>
    <t>Vgi=$Vgo+(avt-1)*$Vvo+Vvi*r_H2Ov</t>
  </si>
  <si>
    <t xml:space="preserve">  Объемы возд и прод сгорания 1нм3 или 1кг при аvt&gt;1 и r&gt;0:</t>
  </si>
  <si>
    <t>* Символ "i" относится к r=0, то есть к сжиганию топлива при отсутствии рециркуляции. Символ "r" относится к газовой смеси, отбираемой на рециркуляцию.</t>
  </si>
  <si>
    <t xml:space="preserve">    *  Общий объем газов в нм3/нм3 или в нм3/кг Vg=Vgi+r*Vgr, т.е. объему газов при отсутствии рециркуляции Vgi плюс объем рециркулирующих газов r*Vgr.</t>
  </si>
  <si>
    <t xml:space="preserve">   **  Ф-ла на все случаи смешения потоков в топке и по газовому тракту.</t>
  </si>
  <si>
    <t>av=1+r_O2*$V_RO2o/(r_RO2*0.21*$Vvo)</t>
  </si>
  <si>
    <t xml:space="preserve"> Объемные доли прод сгорания 1нм3 или 1кг при аvt&gt;1 и r&gt;0:</t>
  </si>
  <si>
    <t>r_RO2=($V_RO2o+r_RO2r*r*Vgr)/Vg</t>
  </si>
  <si>
    <t>r_N2=(($V_N2o+0.79*(avt-1)*$Vvo)+r_N2r*r*Vgr)/Vg</t>
  </si>
  <si>
    <t>r_H2O=(($V_H2Oo+Vvi*r_H2Ov)+r_H2Or*r*Vgr)/Vg</t>
  </si>
  <si>
    <t>r_O2=((0.21*(avt-1)*$Vvo)+r_O2r*r*Vgr)/Vg</t>
  </si>
  <si>
    <t>* К-ция золы в г/нм3 на выходе топки. К-ция mzlo=~mzly*aQpy где mzly,aQpy -к-ция золы при сжигании только угля, aQpy -доля полезной теплоты сгорания смеси топлив, приходящаяся на уголь.</t>
  </si>
  <si>
    <t>mzl=($mzlo*$Vgo+mzlr*r*Vgr)/Vg</t>
  </si>
  <si>
    <t>* К-ция золы в г/нм3 в средине топки -эта та к-ция золы, которая используется для расчета излучения топки; am=~1.06. При сжигании только угля am=(1+ayn)/2/ayn=~1.06, где ayn -доля уноса золы =~0.9</t>
  </si>
  <si>
    <t xml:space="preserve"> для средины топки:</t>
  </si>
  <si>
    <t>mzl=(am*$mzlo*$Vgo+mzlr*r*Vgr)/Vg</t>
  </si>
  <si>
    <t>* Полезное тепловыделение Ia и адиабатическая энтальпия iasm прод сгорания 1нм3 или 1кг топлива. Ia в ккал/нм3 или в ккал/кг относится к 1нм3 сухого сжигаемого газа или к 1кг другого вида топлива.</t>
  </si>
  <si>
    <t>Тепловыделение Ia и адиабат энтальпия iasm прод сгорания 1нм3\1кг:</t>
  </si>
  <si>
    <t>* ivt, Vvi -энтальпия и объем воздуха поступающего в топку, igr -энтальпия рециркулирующего газа, r*Vgr -объем рециркулирующего газа (r -степень рециркуляции, Vgr -объем газов в точке отбора на рецирк-ю в нм3 на нм3 или кг сжигаемого топлива)</t>
  </si>
  <si>
    <t>Ia=Qnp+ivt*Vvi+igr*r*Vgr+qvt</t>
  </si>
  <si>
    <t>* qvt -тепло, вносимое с топливом в котел. it -энтальпия топлива, Bt -его расход на котел. Br -общий расход топлива ("рабочий") на котел. Для смеси топлив под Br можно понимать полезный расход условного топлива -см. ниже.</t>
  </si>
  <si>
    <t>qvt=Sum(it*Bt)/Br</t>
  </si>
  <si>
    <t xml:space="preserve">   *  B - действительный расход топлива, поступающего в котельный агрегат, в нм3/ч или в кг/ч. Для газа q4p=0 и Br=B. Для Qnp также Br=B, так как q4p вместе с другими потерями (кроме потерь в окружающую среду) учитываются в значении Qnp.</t>
  </si>
  <si>
    <t>для газа и Qnp Br=B</t>
  </si>
  <si>
    <t>av=1+r_O2*((Vgi*Vgi+Vgr*r*Vgr)/Vg)/(0.21*$Vvo)</t>
  </si>
  <si>
    <t>av=1+(r_N2*$V_RO2o/r_RO2-$V_N2o)/(0.79*$Vvo)</t>
  </si>
  <si>
    <t>qvt</t>
  </si>
  <si>
    <t>r_RO2r</t>
  </si>
  <si>
    <t>r_RO2</t>
  </si>
  <si>
    <t xml:space="preserve">    Уточнение (вывод см. в файле rascet.wq1):</t>
  </si>
  <si>
    <t xml:space="preserve">  Для мазута и газа или их смеси:</t>
  </si>
  <si>
    <t>af=1-@Exp(-(kg*rn+kc')*p*s)</t>
  </si>
  <si>
    <t>!! Член 1/(1+r) для сажи не учтен в "чистогазовых" файлах и в норм методах за 57 и 73гг. Учет этого члена при r=0.12 (12%) привело к повышению расчетной температуры в конце топки примерно на полтора градуса, так что это уточнение не очень существенное.</t>
  </si>
  <si>
    <t xml:space="preserve">   *  r - степень рециркуляции газов</t>
  </si>
  <si>
    <t>kc'=kco'/(1+r)</t>
  </si>
  <si>
    <t>kco'=-@Ln(1-nt+nt*@Exp(-kc*p*s))/(p*s)</t>
  </si>
  <si>
    <t xml:space="preserve">   *  Символы "g" и "m" относятся соответственно к газу и мазуту;  aQpg и  aQpm - доля Qnp в смеси топлив, приходящаяся на газ или мазут.</t>
  </si>
  <si>
    <t>nt=ntg*aQpg+ntm*aQpm</t>
  </si>
  <si>
    <t xml:space="preserve">  конец уточнения</t>
  </si>
  <si>
    <t/>
  </si>
  <si>
    <t xml:space="preserve">  При сжигании твердых топлив:</t>
  </si>
  <si>
    <t>** Кокс и сажистые частицы вне топки в норм методе за 1973г не учитываются как и в норм. методе за 1957г.</t>
  </si>
  <si>
    <t xml:space="preserve"> * Сумма коэфф ослабления газовыми, золовыми и коксовыми частицами</t>
  </si>
  <si>
    <t>ks=kg*rn+kzl*mzl+kk*x1x*x2x</t>
  </si>
  <si>
    <t>* "kk=1. Безразмер величины x1x и x2x, учитывающие влияние к-ции кокс частиц в факеле, зависят от рода топл (х1х) и способа его сжиг (х2х). Для низкореакц топлив (АШ,ПА,Т) х1х=1; для в-р(кам и бур уг) -х2х=0.5. При камер.сж.т. х2х=0.1, при слоевом 0.03"</t>
  </si>
  <si>
    <t>kk=1</t>
  </si>
  <si>
    <t>x1x=1или0.5</t>
  </si>
  <si>
    <t>x2x=0.1</t>
  </si>
  <si>
    <t xml:space="preserve"> по старому методу</t>
  </si>
  <si>
    <t>kzl=7*(dn*T")^-(2/3)</t>
  </si>
  <si>
    <t xml:space="preserve">   *  dn - сред диаметр частиц золы в мкн; dn при сжигании углей, размолотых в барабанно-шаровых, средне или быстроходных и в шахтных мельницах, составляет 13, 16 и 20 мкн. Устаревшее 1мкн =1мкм =10^-6м.</t>
  </si>
  <si>
    <t>(мкм)</t>
  </si>
  <si>
    <t>* Стр 25 за 57г: доля золы, ун газами, принимается для пылеуг топок с сухим шлакоуд 0.9; для однокамер с жид шл-уд 0.6-0.7; для двухкам с жид шл-уд 0.4-0.5; для т. с высоким шл-уд (циклон) 0.1-0.15. В норм примере m=67г/нм3, что соотв aun=0.9.</t>
  </si>
  <si>
    <t xml:space="preserve">   *  mzl - к-ция золы в конце топки в г/нм3; aun - доля золы, уносимая газами.</t>
  </si>
  <si>
    <t>mzl=10*Ar*aun/Vg</t>
  </si>
  <si>
    <t xml:space="preserve"> по новому методу</t>
  </si>
  <si>
    <t>* pg - плотность дымовых газов, принимаемая равной 1.3 кг/м3; mzl здесь безразмерная к-ция золы</t>
  </si>
  <si>
    <t>kzl*mzl=4300*pg*mzl/(dn^2*T"^2*3.14)^(1/3)</t>
  </si>
  <si>
    <t>** Вне топки mzl=Ar*aun/(100*Gg)</t>
  </si>
  <si>
    <t xml:space="preserve"> * mzl здесь безразмерная к-ция золы, кг/кг; (1+aun)/2 - это усреднение в топке (вне топки используется просто aun); Gg - безразмерный массовый расход газа в кг/кг (без паровых дутья или распыла Gg=1-Ar/100+1.306*avt*Vo; Vo -теоретич кол-во сухого возд)</t>
  </si>
  <si>
    <t>mzl=Ar*(1+aun)/2/(100*Gg)</t>
  </si>
  <si>
    <t>кг/кг</t>
  </si>
  <si>
    <t>* Формулы, пригодные для всех видов топлив и их смеси. Вывод и некоторые сопоставления см. в файле rascet.wq1.</t>
  </si>
  <si>
    <t xml:space="preserve"> В более общем плане (вывод в rascet.wq1):</t>
  </si>
  <si>
    <t>* Сумма коэфф ослабления газовыми, золовыми, коксовыми и сажистыми частицами</t>
  </si>
  <si>
    <t>ks=kg*rn+kzl*mzl+kkx+kc'</t>
  </si>
  <si>
    <t xml:space="preserve">    *  aQpy - доля Qnp в смеси топлив, приходящаяся на уголь; Vgo - объем газов, приходящийся на единицу смеси при избытке воздуха av=1. Vg -фактический объем газов при av&gt;1 и r&gt;1 (r - степень рециркуляции).</t>
  </si>
  <si>
    <t>kkx=kkxo*aQpy*$Vgo/Vg</t>
  </si>
  <si>
    <t xml:space="preserve">   *  kk=1. Безразмер величины x1x и x2x учитывают влияние к-ции кокс частиц в факеле, зависят от рода топл (х1х) и способа его сжиг (х2х). Для низкореакц топлив (АШ,ПА,Т) х1х=1; для в-р(кам и бур уг) -х2х=0.5. При камер.сж.т. х2х=0.1, при слоевом 0.03"</t>
  </si>
  <si>
    <t>kkxo=kk*x1x*x2x</t>
  </si>
  <si>
    <t xml:space="preserve">  kk=1</t>
  </si>
  <si>
    <t>* Vgyo - объем газов сгоревшего угля, приходящийся на единицу смеси при избытке воздуха av=1. Отношение Qnp/Vgo разных топлив примерно одинаково (расхождение не превышает 5%)</t>
  </si>
  <si>
    <t>kkx=kk*x1x*x2x*$Vgyo/Vg</t>
  </si>
  <si>
    <t>kc'=kco'*(1-aQpy)/(1+r)</t>
  </si>
  <si>
    <t xml:space="preserve">   *  Символы "g" и "m" относятся соответственно к газу и мазуту.</t>
  </si>
  <si>
    <t>nt=(ntg*aQpg+ntm*aQpm)/(aQpg+aQpm)</t>
  </si>
  <si>
    <t xml:space="preserve">  Вне топки:</t>
  </si>
  <si>
    <t>ks=kg*rn+kzl*mzl</t>
  </si>
  <si>
    <t>* Mx принимается не выше 0.5 (при камерном сжигании). Подробности определения Mx см. в файле rascet.wq1, а также в bfd_1g.wq1.</t>
  </si>
  <si>
    <t>подробности см. в файле rascet.wq1, а также в bfd_1g.wq1.</t>
  </si>
  <si>
    <t>j=0.65;0.55;0.45;0.35 -Г,М,Уг,&lt;Гун</t>
  </si>
  <si>
    <t xml:space="preserve"> * Теоретич теплосод-е продуктов сгорания Ia равно полезному тепловыделениюв топке (все внесенное и выделившееся тепло - без химнедожогов и т.п.), отнесенному к 1нм3 сухого газа или 1кг другого топлива</t>
  </si>
  <si>
    <t xml:space="preserve">   *  Средняя теплоемкость продуктов сгорания, отнесенная к 1нм3 сухого газа или 1кг др. топлива</t>
  </si>
  <si>
    <t>am</t>
  </si>
  <si>
    <t>mzlr</t>
  </si>
  <si>
    <t>mzl</t>
  </si>
  <si>
    <t xml:space="preserve">    Теоретич. (адиабатич.) температура сгорания 1нм3 или 1кг:</t>
  </si>
  <si>
    <t>* r - доля (такое обозначение объемной доли используется в норм. расчетах); i - энтальпия; t - рекурсивное значение t в оС; r_RO2 - суммарная объемная доля CO2 и SO2.  dZ - концентрация золы в г на нм3 чистой (не включающей золу) газовой смеси.</t>
  </si>
  <si>
    <t>dn</t>
  </si>
  <si>
    <t>kkxo</t>
  </si>
  <si>
    <t>aQpy</t>
  </si>
  <si>
    <t>kkx</t>
  </si>
  <si>
    <t>kzl</t>
  </si>
  <si>
    <t>kco'</t>
  </si>
  <si>
    <t>kc'</t>
  </si>
  <si>
    <t>V_RO2</t>
  </si>
  <si>
    <t xml:space="preserve">   *  Vg - объем газов в нм3 на нм3 или кг сжигаемого топлива; Fc - площадь сечения для прохода газов в м2.</t>
  </si>
  <si>
    <t xml:space="preserve">   Ввести Sti вместо 3.6, что было для газа.</t>
  </si>
  <si>
    <t>* Степень излучения Sti=4 для запыленного потока, т.е. при учете излучения золы. Для газов и жидких топлив поток считается незапыленным и Sti=3.6. Для смеси топлив можно видимо брать средневзвешенное зн-е Sti.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</si>
</sst>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2"/>
      <name val="Courier"/>
      <family val="0"/>
    </font>
    <font>
      <sz val="10"/>
      <name val="Arial Cyr"/>
      <family val="0"/>
    </font>
    <font>
      <sz val="12"/>
      <color indexed="8"/>
      <name val="Courier"/>
      <family val="0"/>
    </font>
    <font>
      <sz val="12"/>
      <color indexed="14"/>
      <name val="Courier"/>
      <family val="3"/>
    </font>
    <font>
      <sz val="15"/>
      <color indexed="16"/>
      <name val="Courier"/>
      <family val="3"/>
    </font>
    <font>
      <sz val="12"/>
      <color indexed="12"/>
      <name val="Courier"/>
      <family val="3"/>
    </font>
    <font>
      <sz val="12"/>
      <color indexed="17"/>
      <name val="Courier"/>
      <family val="3"/>
    </font>
    <font>
      <sz val="12"/>
      <color indexed="21"/>
      <name val="Courier"/>
      <family val="3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darkGray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/>
    </xf>
    <xf numFmtId="0" fontId="0" fillId="2" borderId="0" xfId="0" applyFill="1" applyAlignment="1">
      <alignment/>
    </xf>
    <xf numFmtId="0" fontId="0" fillId="0" borderId="0" xfId="0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/>
    </xf>
    <xf numFmtId="0" fontId="0" fillId="3" borderId="0" xfId="0" applyFill="1" applyAlignment="1">
      <alignment/>
    </xf>
    <xf numFmtId="0" fontId="2" fillId="1" borderId="0" xfId="0" applyFont="1" applyFill="1" applyAlignment="1" applyProtection="1">
      <alignment/>
      <protection/>
    </xf>
    <xf numFmtId="0" fontId="2" fillId="1" borderId="0" xfId="0" applyFont="1" applyFill="1" applyAlignment="1">
      <alignment/>
    </xf>
    <xf numFmtId="0" fontId="2" fillId="4" borderId="0" xfId="0" applyFont="1" applyFill="1" applyAlignment="1" applyProtection="1">
      <alignment/>
      <protection/>
    </xf>
    <xf numFmtId="0" fontId="2" fillId="4" borderId="0" xfId="0" applyFont="1" applyFill="1" applyAlignment="1">
      <alignment/>
    </xf>
    <xf numFmtId="0" fontId="0" fillId="0" borderId="0" xfId="0" applyFont="1" applyAlignment="1" applyProtection="1">
      <alignment horizontal="center"/>
      <protection locked="0"/>
    </xf>
    <xf numFmtId="0" fontId="2" fillId="1" borderId="0" xfId="0" applyFont="1" applyFill="1" applyAlignment="1" applyProtection="1">
      <alignment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right"/>
      <protection/>
    </xf>
    <xf numFmtId="0" fontId="0" fillId="5" borderId="0" xfId="0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 applyAlignment="1" applyProtection="1">
      <alignment horizontal="center"/>
      <protection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0" fillId="2" borderId="0" xfId="0" applyFill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5" fillId="2" borderId="0" xfId="0" applyFont="1" applyFill="1" applyAlignment="1">
      <alignment/>
    </xf>
    <xf numFmtId="0" fontId="6" fillId="6" borderId="0" xfId="0" applyFont="1" applyFill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/>
      <protection/>
    </xf>
    <xf numFmtId="0" fontId="4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7" fillId="6" borderId="0" xfId="0" applyFont="1" applyFill="1" applyAlignment="1">
      <alignment/>
    </xf>
    <xf numFmtId="0" fontId="7" fillId="1" borderId="0" xfId="0" applyFont="1" applyFill="1" applyAlignment="1" applyProtection="1">
      <alignment/>
      <protection/>
    </xf>
    <xf numFmtId="0" fontId="7" fillId="6" borderId="0" xfId="0" applyFont="1" applyFill="1" applyAlignment="1">
      <alignment horizontal="center"/>
    </xf>
    <xf numFmtId="0" fontId="3" fillId="5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X858"/>
  <sheetViews>
    <sheetView showGridLines="0" tabSelected="1" zoomScale="75" zoomScaleNormal="75" workbookViewId="0" topLeftCell="A1">
      <selection activeCell="J6" sqref="J6"/>
    </sheetView>
  </sheetViews>
  <sheetFormatPr defaultColWidth="9.796875" defaultRowHeight="15"/>
  <cols>
    <col min="1" max="3" width="2.796875" style="0" customWidth="1"/>
    <col min="4" max="4" width="6.796875" style="0" customWidth="1"/>
    <col min="5" max="26" width="7.796875" style="0" customWidth="1"/>
  </cols>
  <sheetData>
    <row r="1" ht="15">
      <c r="C1" s="1" t="s">
        <v>524</v>
      </c>
    </row>
    <row r="2" spans="2:19" ht="15">
      <c r="B2" s="20" t="s">
        <v>1120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3:4" ht="15">
      <c r="C3" s="1"/>
      <c r="D3" s="1" t="s">
        <v>75</v>
      </c>
    </row>
    <row r="4" ht="15">
      <c r="D4" s="1" t="s">
        <v>76</v>
      </c>
    </row>
    <row r="5" ht="15">
      <c r="D5" s="1" t="s">
        <v>77</v>
      </c>
    </row>
    <row r="6" ht="15">
      <c r="D6" s="1" t="s">
        <v>78</v>
      </c>
    </row>
    <row r="7" spans="4:9" ht="15">
      <c r="D7" s="1" t="s">
        <v>520</v>
      </c>
      <c r="F7" s="1" t="s">
        <v>520</v>
      </c>
      <c r="G7" s="3" t="s">
        <v>385</v>
      </c>
      <c r="H7" s="3" t="s">
        <v>394</v>
      </c>
      <c r="I7" s="3" t="s">
        <v>402</v>
      </c>
    </row>
    <row r="8" spans="3:9" ht="15">
      <c r="C8" s="1" t="s">
        <v>526</v>
      </c>
      <c r="F8" s="3" t="s">
        <v>351</v>
      </c>
      <c r="G8" s="4">
        <f>1.0079*2</f>
        <v>2.0158</v>
      </c>
      <c r="H8" s="4">
        <f>G8/22.41</f>
        <v>0.08995091477019188</v>
      </c>
      <c r="I8" s="4">
        <v>2579</v>
      </c>
    </row>
    <row r="9" spans="3:8" ht="15">
      <c r="C9" s="1" t="s">
        <v>527</v>
      </c>
      <c r="F9" s="3" t="s">
        <v>352</v>
      </c>
      <c r="G9" s="4">
        <f>14.0067*2</f>
        <v>28.0134</v>
      </c>
      <c r="H9" s="4">
        <f>G9/22.41</f>
        <v>1.2500401606425704</v>
      </c>
    </row>
    <row r="10" spans="3:8" ht="15">
      <c r="C10" s="1" t="s">
        <v>528</v>
      </c>
      <c r="F10" s="3" t="s">
        <v>353</v>
      </c>
      <c r="G10" s="1" t="s">
        <v>520</v>
      </c>
      <c r="H10" s="4">
        <v>1.257</v>
      </c>
    </row>
    <row r="11" spans="3:8" ht="15">
      <c r="C11" s="1" t="s">
        <v>529</v>
      </c>
      <c r="F11" s="3" t="s">
        <v>354</v>
      </c>
      <c r="G11" s="4">
        <f>15.999*2</f>
        <v>31.998</v>
      </c>
      <c r="H11" s="4">
        <f aca="true" t="shared" si="0" ref="H11:H26">G11/22.41</f>
        <v>1.4278447121820617</v>
      </c>
    </row>
    <row r="12" spans="3:9" ht="15">
      <c r="C12" s="1" t="s">
        <v>530</v>
      </c>
      <c r="F12" s="3" t="s">
        <v>355</v>
      </c>
      <c r="G12" s="4">
        <f>12.011+15.999</f>
        <v>28.009999999999998</v>
      </c>
      <c r="H12" s="4">
        <f t="shared" si="0"/>
        <v>1.249888442659527</v>
      </c>
      <c r="I12" s="4">
        <v>3018</v>
      </c>
    </row>
    <row r="13" spans="3:8" ht="15">
      <c r="C13" s="1" t="s">
        <v>531</v>
      </c>
      <c r="F13" s="3" t="s">
        <v>121</v>
      </c>
      <c r="G13" s="4">
        <f>12.011+15.999*2</f>
        <v>44.009</v>
      </c>
      <c r="H13" s="4">
        <f t="shared" si="0"/>
        <v>1.9638107987505578</v>
      </c>
    </row>
    <row r="14" spans="3:8" ht="15">
      <c r="C14" s="1" t="s">
        <v>532</v>
      </c>
      <c r="F14" s="3" t="s">
        <v>356</v>
      </c>
      <c r="G14" s="4">
        <f>32.06+15.999*2</f>
        <v>64.058</v>
      </c>
      <c r="H14" s="4">
        <f t="shared" si="0"/>
        <v>2.858456046407854</v>
      </c>
    </row>
    <row r="15" spans="3:9" ht="15">
      <c r="C15" s="1" t="s">
        <v>533</v>
      </c>
      <c r="F15" s="3" t="s">
        <v>357</v>
      </c>
      <c r="G15" s="4">
        <f>1.0079*2+32.06</f>
        <v>34.0758</v>
      </c>
      <c r="H15" s="4">
        <f t="shared" si="0"/>
        <v>1.520562248995984</v>
      </c>
      <c r="I15" s="4">
        <v>5585</v>
      </c>
    </row>
    <row r="16" spans="3:9" ht="15">
      <c r="C16" s="1" t="s">
        <v>534</v>
      </c>
      <c r="F16" s="3" t="s">
        <v>310</v>
      </c>
      <c r="G16" s="4">
        <f>12.011+1.0079*4</f>
        <v>16.0426</v>
      </c>
      <c r="H16" s="4">
        <f t="shared" si="0"/>
        <v>0.71586791610888</v>
      </c>
      <c r="I16" s="4">
        <v>8555</v>
      </c>
    </row>
    <row r="17" spans="3:9" ht="15">
      <c r="C17" s="1" t="s">
        <v>535</v>
      </c>
      <c r="F17" s="3" t="s">
        <v>358</v>
      </c>
      <c r="G17" s="4">
        <f>12.011*2+1.0079*6</f>
        <v>30.069399999999998</v>
      </c>
      <c r="H17" s="4">
        <f t="shared" si="0"/>
        <v>1.341784917447568</v>
      </c>
      <c r="I17" s="4">
        <v>15226</v>
      </c>
    </row>
    <row r="18" spans="3:9" ht="15">
      <c r="C18" s="1" t="s">
        <v>536</v>
      </c>
      <c r="F18" s="3" t="s">
        <v>359</v>
      </c>
      <c r="G18" s="4">
        <f>12.011*3+1.0079*8</f>
        <v>44.0962</v>
      </c>
      <c r="H18" s="4">
        <f t="shared" si="0"/>
        <v>1.9677019187862563</v>
      </c>
      <c r="I18" s="4">
        <v>21795</v>
      </c>
    </row>
    <row r="19" spans="3:9" ht="15">
      <c r="C19" s="1" t="s">
        <v>537</v>
      </c>
      <c r="F19" s="3" t="s">
        <v>360</v>
      </c>
      <c r="G19" s="4">
        <f>12.011*4+1.0079*10</f>
        <v>58.123</v>
      </c>
      <c r="H19" s="4">
        <f t="shared" si="0"/>
        <v>2.593618920124944</v>
      </c>
      <c r="I19" s="4">
        <v>28338</v>
      </c>
    </row>
    <row r="20" spans="3:9" ht="15">
      <c r="C20" s="1" t="s">
        <v>538</v>
      </c>
      <c r="F20" s="3" t="s">
        <v>361</v>
      </c>
      <c r="G20" s="4">
        <f>12.011*5+1.0079*12</f>
        <v>72.1498</v>
      </c>
      <c r="H20" s="4">
        <f t="shared" si="0"/>
        <v>3.219535921463632</v>
      </c>
      <c r="I20" s="4">
        <v>34890</v>
      </c>
    </row>
    <row r="21" spans="3:9" ht="15">
      <c r="C21" s="1" t="s">
        <v>539</v>
      </c>
      <c r="F21" s="3" t="s">
        <v>362</v>
      </c>
      <c r="G21" s="4">
        <f>12.011*2+1.0079*4</f>
        <v>28.0536</v>
      </c>
      <c r="H21" s="4">
        <f t="shared" si="0"/>
        <v>1.2518340026773762</v>
      </c>
      <c r="I21" s="4">
        <v>14107</v>
      </c>
    </row>
    <row r="22" spans="3:9" ht="15">
      <c r="C22" s="1" t="s">
        <v>540</v>
      </c>
      <c r="F22" s="3" t="s">
        <v>363</v>
      </c>
      <c r="G22" s="4">
        <f>12.011*3+1.0079*6</f>
        <v>42.0804</v>
      </c>
      <c r="H22" s="4">
        <f t="shared" si="0"/>
        <v>1.877751004016064</v>
      </c>
      <c r="I22" s="4">
        <v>20541</v>
      </c>
    </row>
    <row r="23" spans="3:9" ht="15">
      <c r="C23" s="1" t="s">
        <v>541</v>
      </c>
      <c r="F23" s="3" t="s">
        <v>364</v>
      </c>
      <c r="G23" s="4">
        <f>12.011*4+1.0079*8</f>
        <v>56.1072</v>
      </c>
      <c r="H23" s="4">
        <f t="shared" si="0"/>
        <v>2.5036680053547524</v>
      </c>
      <c r="I23" s="4">
        <v>27111</v>
      </c>
    </row>
    <row r="24" spans="3:9" ht="15">
      <c r="C24" s="1" t="s">
        <v>542</v>
      </c>
      <c r="F24" s="3" t="s">
        <v>365</v>
      </c>
      <c r="G24" s="4">
        <f>12.011*6+1.0079*6</f>
        <v>78.1134</v>
      </c>
      <c r="H24" s="4">
        <f t="shared" si="0"/>
        <v>3.4856492637215526</v>
      </c>
      <c r="I24" s="4">
        <v>33528</v>
      </c>
    </row>
    <row r="25" spans="6:8" ht="15">
      <c r="F25" s="3" t="s">
        <v>366</v>
      </c>
      <c r="G25" s="4">
        <f>1.0079*2+15.999</f>
        <v>18.0148</v>
      </c>
      <c r="H25" s="4">
        <f t="shared" si="0"/>
        <v>0.8038732708612227</v>
      </c>
    </row>
    <row r="26" spans="6:8" ht="15">
      <c r="F26" s="3" t="s">
        <v>367</v>
      </c>
      <c r="G26" s="4">
        <f>32.06+15.999*3</f>
        <v>80.057</v>
      </c>
      <c r="H26" s="4">
        <f t="shared" si="0"/>
        <v>3.5723784024988845</v>
      </c>
    </row>
    <row r="27" spans="3:8" ht="15">
      <c r="C27" s="1" t="s">
        <v>525</v>
      </c>
      <c r="F27" s="3"/>
      <c r="G27" s="4"/>
      <c r="H27" s="4"/>
    </row>
    <row r="28" spans="3:8" ht="15">
      <c r="C28" s="1" t="s">
        <v>489</v>
      </c>
      <c r="F28" s="3"/>
      <c r="G28" s="4"/>
      <c r="H28" s="4"/>
    </row>
    <row r="29" spans="3:8" ht="15">
      <c r="C29" s="1" t="s">
        <v>490</v>
      </c>
      <c r="F29" s="3"/>
      <c r="G29" s="4"/>
      <c r="H29" s="4"/>
    </row>
    <row r="30" spans="3:4" ht="15">
      <c r="C30" s="1" t="s">
        <v>543</v>
      </c>
      <c r="D30" s="1" t="s">
        <v>79</v>
      </c>
    </row>
    <row r="31" ht="15">
      <c r="B31" s="1" t="s">
        <v>491</v>
      </c>
    </row>
    <row r="32" ht="15">
      <c r="B32" s="1" t="s">
        <v>492</v>
      </c>
    </row>
    <row r="33" ht="15">
      <c r="D33" s="1" t="s">
        <v>80</v>
      </c>
    </row>
    <row r="34" spans="3:13" ht="15">
      <c r="C34" s="1" t="s">
        <v>544</v>
      </c>
      <c r="D34" s="4">
        <v>0</v>
      </c>
      <c r="E34" s="4">
        <v>10</v>
      </c>
      <c r="F34" s="4">
        <v>20</v>
      </c>
      <c r="G34" s="4">
        <v>30</v>
      </c>
      <c r="H34" s="4">
        <v>40</v>
      </c>
      <c r="I34" s="4">
        <v>50</v>
      </c>
      <c r="J34" s="4">
        <v>60</v>
      </c>
      <c r="K34" s="4">
        <v>70</v>
      </c>
      <c r="L34" s="4">
        <v>80</v>
      </c>
      <c r="M34" s="4">
        <v>90</v>
      </c>
    </row>
    <row r="35" spans="3:13" ht="15">
      <c r="C35" s="1" t="s">
        <v>545</v>
      </c>
      <c r="D35" s="4">
        <v>5</v>
      </c>
      <c r="E35" s="4">
        <v>10.1</v>
      </c>
      <c r="F35" s="4">
        <v>19.4</v>
      </c>
      <c r="G35" s="4">
        <v>35.9</v>
      </c>
      <c r="H35" s="4">
        <v>64.6</v>
      </c>
      <c r="I35" s="4">
        <v>114</v>
      </c>
      <c r="J35" s="4">
        <v>202</v>
      </c>
      <c r="K35" s="4">
        <v>370</v>
      </c>
      <c r="L35" s="4">
        <v>739</v>
      </c>
      <c r="M35" s="4">
        <v>1950</v>
      </c>
    </row>
    <row r="36" spans="3:9" ht="15">
      <c r="C36" s="1" t="s">
        <v>520</v>
      </c>
      <c r="D36" s="4">
        <f aca="true" t="shared" si="1" ref="D36:I36">(1.17462+0.0086103*D34-0.0000069814*D34^2+0.000000144913*D34^3)^10</f>
        <v>5.000044989750365</v>
      </c>
      <c r="E36" s="4">
        <f t="shared" si="1"/>
        <v>10.099283933180438</v>
      </c>
      <c r="F36" s="4">
        <f t="shared" si="1"/>
        <v>19.40194014920287</v>
      </c>
      <c r="G36" s="4">
        <f t="shared" si="1"/>
        <v>35.89681283912451</v>
      </c>
      <c r="H36" s="4">
        <f t="shared" si="1"/>
        <v>64.60195899216656</v>
      </c>
      <c r="I36" s="4">
        <f t="shared" si="1"/>
        <v>113.99943618771071</v>
      </c>
    </row>
    <row r="37" spans="3:13" ht="15">
      <c r="C37" s="1" t="s">
        <v>520</v>
      </c>
      <c r="D37" s="4">
        <f aca="true" t="shared" si="2" ref="D37:M37">(1.0837+0.0041865*D34-0.000036193*D34^2+0.00000114063*D34^3-0.000000017627*D34^4+0.00000000010466*D34^5)^20</f>
        <v>4.990929869200577</v>
      </c>
      <c r="E37" s="4">
        <f t="shared" si="2"/>
        <v>10.162028499510113</v>
      </c>
      <c r="F37" s="4">
        <f t="shared" si="2"/>
        <v>19.324463519157984</v>
      </c>
      <c r="G37" s="4">
        <f t="shared" si="2"/>
        <v>35.731596687922284</v>
      </c>
      <c r="H37" s="4">
        <f t="shared" si="2"/>
        <v>64.73085105525902</v>
      </c>
      <c r="I37" s="4">
        <f t="shared" si="2"/>
        <v>114.82783317702516</v>
      </c>
      <c r="J37" s="4">
        <f t="shared" si="2"/>
        <v>201.81130915301466</v>
      </c>
      <c r="K37" s="4">
        <f t="shared" si="2"/>
        <v>366.10881895584475</v>
      </c>
      <c r="L37" s="4">
        <f t="shared" si="2"/>
        <v>745.3858630351921</v>
      </c>
      <c r="M37" s="4">
        <f t="shared" si="2"/>
        <v>1945.7256682705954</v>
      </c>
    </row>
    <row r="38" spans="1:13" ht="15">
      <c r="A38" s="1"/>
      <c r="C38" s="1"/>
      <c r="D38" s="4" t="s">
        <v>422</v>
      </c>
      <c r="E38" s="4"/>
      <c r="F38" s="4"/>
      <c r="G38" s="4"/>
      <c r="H38" s="4"/>
      <c r="I38" s="4"/>
      <c r="J38" s="4"/>
      <c r="K38" s="4"/>
      <c r="L38" s="4"/>
      <c r="M38" s="4"/>
    </row>
    <row r="39" spans="1:13" ht="15">
      <c r="A39" s="1"/>
      <c r="C39" s="1" t="s">
        <v>482</v>
      </c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">
      <c r="A40" s="1"/>
      <c r="C40" s="1" t="s">
        <v>483</v>
      </c>
      <c r="D40" s="4"/>
      <c r="E40" s="4"/>
      <c r="F40" s="4"/>
      <c r="G40" s="4"/>
      <c r="H40" s="4"/>
      <c r="I40" s="4"/>
      <c r="J40" s="4"/>
      <c r="K40" s="4"/>
      <c r="L40" s="4"/>
      <c r="M40" s="4"/>
    </row>
    <row r="42" spans="4:11" ht="15">
      <c r="D42" s="1" t="s">
        <v>81</v>
      </c>
      <c r="K42" s="1" t="s">
        <v>546</v>
      </c>
    </row>
    <row r="43" spans="3:4" ht="15">
      <c r="C43" s="1"/>
      <c r="D43" s="1" t="s">
        <v>493</v>
      </c>
    </row>
    <row r="44" spans="3:4" ht="15">
      <c r="C44" s="1"/>
      <c r="D44" s="1" t="s">
        <v>547</v>
      </c>
    </row>
    <row r="45" spans="3:4" ht="15">
      <c r="C45" s="1"/>
      <c r="D45" s="2" t="s">
        <v>548</v>
      </c>
    </row>
    <row r="46" spans="4:11" ht="15">
      <c r="D46" s="3" t="s">
        <v>544</v>
      </c>
      <c r="E46" s="1" t="s">
        <v>302</v>
      </c>
      <c r="F46" s="1" t="s">
        <v>368</v>
      </c>
      <c r="G46" s="1" t="s">
        <v>386</v>
      </c>
      <c r="H46" s="1" t="s">
        <v>395</v>
      </c>
      <c r="I46" s="3" t="s">
        <v>403</v>
      </c>
      <c r="J46" s="3" t="s">
        <v>407</v>
      </c>
      <c r="K46" s="3" t="s">
        <v>410</v>
      </c>
    </row>
    <row r="47" spans="4:11" ht="15">
      <c r="D47" s="4">
        <v>0</v>
      </c>
      <c r="E47" s="4">
        <v>0.3821</v>
      </c>
      <c r="F47" s="4">
        <v>0.3092</v>
      </c>
      <c r="G47" s="4">
        <v>0.3119</v>
      </c>
      <c r="H47" s="4">
        <v>0.3569</v>
      </c>
      <c r="I47" s="4">
        <v>0.3098</v>
      </c>
      <c r="J47" s="4">
        <v>0.315</v>
      </c>
      <c r="K47" s="6">
        <v>0.18</v>
      </c>
    </row>
    <row r="48" spans="4:11" ht="15">
      <c r="D48" s="4">
        <v>100</v>
      </c>
      <c r="E48" s="4">
        <v>0.4061</v>
      </c>
      <c r="F48" s="4">
        <v>0.3095</v>
      </c>
      <c r="G48" s="4">
        <v>0.3147</v>
      </c>
      <c r="H48" s="4">
        <v>0.3595</v>
      </c>
      <c r="I48" s="4">
        <v>0.3106</v>
      </c>
      <c r="J48" s="4">
        <v>0.3163</v>
      </c>
      <c r="K48" s="4">
        <v>0.193</v>
      </c>
    </row>
    <row r="49" spans="4:11" ht="15">
      <c r="D49" s="4">
        <v>200</v>
      </c>
      <c r="E49" s="4">
        <v>0.4269</v>
      </c>
      <c r="F49" s="4">
        <v>0.3104</v>
      </c>
      <c r="G49" s="4">
        <v>0.3189</v>
      </c>
      <c r="H49" s="4">
        <v>0.3636</v>
      </c>
      <c r="I49" s="4">
        <v>0.3122</v>
      </c>
      <c r="J49" s="4">
        <v>0.3181</v>
      </c>
      <c r="K49" s="4">
        <v>0.202</v>
      </c>
    </row>
    <row r="50" spans="4:11" ht="15">
      <c r="D50" s="4">
        <v>300</v>
      </c>
      <c r="E50" s="4">
        <v>0.4449</v>
      </c>
      <c r="F50" s="4">
        <v>0.3121</v>
      </c>
      <c r="G50" s="4">
        <v>0.3239</v>
      </c>
      <c r="H50" s="4">
        <v>0.3684</v>
      </c>
      <c r="I50" s="4">
        <v>0.3146</v>
      </c>
      <c r="J50" s="4">
        <v>0.3206</v>
      </c>
      <c r="K50" s="4">
        <v>0.21</v>
      </c>
    </row>
    <row r="51" spans="4:11" ht="15">
      <c r="D51" s="4">
        <v>400</v>
      </c>
      <c r="E51" s="4">
        <v>0.4609</v>
      </c>
      <c r="F51" s="4">
        <v>0.3144</v>
      </c>
      <c r="G51" s="4">
        <v>0.329</v>
      </c>
      <c r="H51" s="4">
        <v>0.3739</v>
      </c>
      <c r="I51" s="4">
        <v>0.3174</v>
      </c>
      <c r="J51" s="4">
        <v>0.3235</v>
      </c>
      <c r="K51" s="4">
        <v>0.215</v>
      </c>
    </row>
    <row r="52" spans="4:11" ht="15">
      <c r="D52" s="4">
        <v>500</v>
      </c>
      <c r="E52" s="4">
        <v>0.475</v>
      </c>
      <c r="F52" s="4">
        <v>0.3171</v>
      </c>
      <c r="G52" s="4">
        <v>0.3339</v>
      </c>
      <c r="H52" s="4">
        <v>0.3797</v>
      </c>
      <c r="I52" s="4">
        <v>0.3207</v>
      </c>
      <c r="J52" s="4">
        <v>0.3268</v>
      </c>
      <c r="K52" s="4">
        <v>0.219</v>
      </c>
    </row>
    <row r="53" spans="4:11" ht="15">
      <c r="D53" s="4">
        <v>600</v>
      </c>
      <c r="E53" s="4">
        <v>0.4875</v>
      </c>
      <c r="F53" s="4">
        <v>0.3201</v>
      </c>
      <c r="G53" s="4">
        <v>0.3384</v>
      </c>
      <c r="H53" s="4">
        <v>0.3857</v>
      </c>
      <c r="I53" s="4">
        <v>0.324</v>
      </c>
      <c r="J53" s="4">
        <v>0.3303</v>
      </c>
      <c r="K53" s="4">
        <v>0.223</v>
      </c>
    </row>
    <row r="54" spans="4:11" ht="15">
      <c r="D54" s="4">
        <v>700</v>
      </c>
      <c r="E54" s="4">
        <v>0.4988</v>
      </c>
      <c r="F54" s="4">
        <v>0.3233</v>
      </c>
      <c r="G54" s="4">
        <v>0.3426</v>
      </c>
      <c r="H54" s="4">
        <v>0.392</v>
      </c>
      <c r="I54" s="4">
        <v>0.3274</v>
      </c>
      <c r="J54" s="4">
        <v>0.3338</v>
      </c>
      <c r="K54" s="4">
        <v>0.226</v>
      </c>
    </row>
    <row r="55" spans="4:11" ht="15">
      <c r="D55" s="4">
        <v>800</v>
      </c>
      <c r="E55" s="4">
        <v>0.509</v>
      </c>
      <c r="F55" s="4">
        <v>0.3265</v>
      </c>
      <c r="G55" s="4">
        <v>0.3463</v>
      </c>
      <c r="H55" s="4">
        <v>0.3984</v>
      </c>
      <c r="I55" s="4">
        <v>0.3306</v>
      </c>
      <c r="J55" s="4">
        <v>0.3371</v>
      </c>
      <c r="K55" s="4">
        <v>0.229</v>
      </c>
    </row>
    <row r="56" spans="4:11" ht="15">
      <c r="D56" s="4">
        <v>900</v>
      </c>
      <c r="E56" s="4">
        <v>0.5181</v>
      </c>
      <c r="F56" s="4">
        <v>0.3295</v>
      </c>
      <c r="G56" s="4">
        <v>0.3498</v>
      </c>
      <c r="H56" s="4">
        <v>0.405</v>
      </c>
      <c r="I56" s="4">
        <v>0.3338</v>
      </c>
      <c r="J56" s="4">
        <v>0.3403</v>
      </c>
      <c r="K56" s="4">
        <v>0.232</v>
      </c>
    </row>
    <row r="57" spans="4:11" ht="15">
      <c r="D57" s="4">
        <v>1000</v>
      </c>
      <c r="E57" s="4">
        <v>0.5263</v>
      </c>
      <c r="F57" s="4">
        <v>0.3324</v>
      </c>
      <c r="G57" s="4">
        <v>0.3529</v>
      </c>
      <c r="H57" s="4">
        <v>0.4115</v>
      </c>
      <c r="I57" s="4">
        <v>0.3367</v>
      </c>
      <c r="J57" s="4">
        <v>0.3433</v>
      </c>
      <c r="K57" s="4">
        <v>0.235</v>
      </c>
    </row>
    <row r="58" spans="4:11" ht="15">
      <c r="D58" s="4">
        <v>1100</v>
      </c>
      <c r="E58" s="4">
        <v>0.5338</v>
      </c>
      <c r="F58" s="4">
        <v>0.3352</v>
      </c>
      <c r="G58" s="4">
        <v>0.3557</v>
      </c>
      <c r="H58" s="4">
        <v>0.418</v>
      </c>
      <c r="I58" s="4">
        <v>0.3395</v>
      </c>
      <c r="J58" s="4">
        <v>0.3463</v>
      </c>
      <c r="K58" s="4">
        <v>0.238</v>
      </c>
    </row>
    <row r="59" spans="4:11" ht="15">
      <c r="D59" s="4">
        <v>1200</v>
      </c>
      <c r="E59" s="4">
        <v>0.5407</v>
      </c>
      <c r="F59" s="4">
        <v>0.3378</v>
      </c>
      <c r="G59" s="4">
        <v>0.3584</v>
      </c>
      <c r="H59" s="4">
        <v>0.4244</v>
      </c>
      <c r="I59" s="4">
        <v>0.3422</v>
      </c>
      <c r="J59" s="4">
        <v>0.349</v>
      </c>
      <c r="K59" s="4">
        <v>0.24</v>
      </c>
    </row>
    <row r="60" spans="4:11" ht="15">
      <c r="D60" s="4">
        <v>1300</v>
      </c>
      <c r="E60" s="4">
        <v>0.5469</v>
      </c>
      <c r="F60" s="4">
        <v>0.3404</v>
      </c>
      <c r="G60" s="4">
        <v>0.3608</v>
      </c>
      <c r="H60" s="4">
        <v>0.4306</v>
      </c>
      <c r="I60" s="4">
        <v>0.3447</v>
      </c>
      <c r="J60" s="4">
        <v>0.3517</v>
      </c>
      <c r="K60" s="4">
        <v>0.25</v>
      </c>
    </row>
    <row r="61" spans="4:11" ht="15">
      <c r="D61" s="4">
        <v>1400</v>
      </c>
      <c r="E61" s="4">
        <v>0.5526</v>
      </c>
      <c r="F61" s="4">
        <v>0.3427</v>
      </c>
      <c r="G61" s="4">
        <v>0.3631</v>
      </c>
      <c r="H61" s="4">
        <v>0.4366</v>
      </c>
      <c r="I61" s="4">
        <v>0.347</v>
      </c>
      <c r="J61" s="4">
        <v>0.3542</v>
      </c>
      <c r="K61" s="4">
        <v>0.27</v>
      </c>
    </row>
    <row r="62" spans="4:11" ht="15">
      <c r="D62" s="4">
        <v>1500</v>
      </c>
      <c r="E62" s="4">
        <v>0.5578</v>
      </c>
      <c r="F62" s="4">
        <v>0.3449</v>
      </c>
      <c r="G62" s="4">
        <v>0.3653</v>
      </c>
      <c r="H62" s="4">
        <v>0.4425</v>
      </c>
      <c r="I62" s="4">
        <v>0.3492</v>
      </c>
      <c r="J62" s="4">
        <v>0.3565</v>
      </c>
      <c r="K62" s="4">
        <v>0.28</v>
      </c>
    </row>
    <row r="63" spans="4:11" ht="15">
      <c r="D63" s="4">
        <v>1600</v>
      </c>
      <c r="E63" s="4">
        <v>0.5626</v>
      </c>
      <c r="F63" s="4">
        <v>0.347</v>
      </c>
      <c r="G63" s="4">
        <v>0.3673</v>
      </c>
      <c r="H63" s="4">
        <v>0.4481</v>
      </c>
      <c r="I63" s="4">
        <v>0.3513</v>
      </c>
      <c r="J63" s="4">
        <v>0.3587</v>
      </c>
      <c r="K63" s="4">
        <v>0.28</v>
      </c>
    </row>
    <row r="64" spans="4:11" ht="15">
      <c r="D64" s="4">
        <v>1700</v>
      </c>
      <c r="E64" s="4">
        <v>0.5671</v>
      </c>
      <c r="F64" s="4">
        <v>0.349</v>
      </c>
      <c r="G64" s="4">
        <v>0.3693</v>
      </c>
      <c r="H64" s="4">
        <v>0.4537</v>
      </c>
      <c r="I64" s="4">
        <v>0.3532</v>
      </c>
      <c r="J64" s="4">
        <v>0.3607</v>
      </c>
      <c r="K64" s="4">
        <v>0.29</v>
      </c>
    </row>
    <row r="65" spans="4:11" ht="15">
      <c r="D65" s="4">
        <v>1800</v>
      </c>
      <c r="E65" s="4">
        <v>0.5712</v>
      </c>
      <c r="F65" s="4">
        <v>0.3508</v>
      </c>
      <c r="G65" s="4">
        <v>0.3712</v>
      </c>
      <c r="H65" s="4">
        <v>0.4589</v>
      </c>
      <c r="I65" s="4">
        <v>0.3551</v>
      </c>
      <c r="J65" s="4">
        <v>0.3625</v>
      </c>
      <c r="K65" s="4">
        <v>0.29</v>
      </c>
    </row>
    <row r="66" spans="4:11" ht="15">
      <c r="D66" s="4">
        <v>1900</v>
      </c>
      <c r="E66" s="4">
        <v>0.575</v>
      </c>
      <c r="F66" s="4">
        <v>0.3525</v>
      </c>
      <c r="G66" s="4">
        <v>0.373</v>
      </c>
      <c r="H66" s="4">
        <v>0.4639</v>
      </c>
      <c r="I66" s="4">
        <v>0.3568</v>
      </c>
      <c r="J66" s="4">
        <v>0.3644</v>
      </c>
      <c r="K66" s="4">
        <v>0.3</v>
      </c>
    </row>
    <row r="67" spans="4:11" ht="15">
      <c r="D67" s="4">
        <v>2000</v>
      </c>
      <c r="E67" s="4">
        <v>0.5785</v>
      </c>
      <c r="F67" s="4">
        <v>0.3541</v>
      </c>
      <c r="G67" s="4">
        <v>0.3748</v>
      </c>
      <c r="H67" s="4">
        <v>0.4688</v>
      </c>
      <c r="I67" s="4">
        <v>0.3585</v>
      </c>
      <c r="J67" s="4">
        <v>0.3661</v>
      </c>
      <c r="K67" s="4">
        <v>0.3</v>
      </c>
    </row>
    <row r="68" spans="3:11" ht="15.75">
      <c r="C68" s="2"/>
      <c r="D68" s="4">
        <v>2100</v>
      </c>
      <c r="E68" s="4">
        <v>0.5818</v>
      </c>
      <c r="F68" s="4">
        <v>0.3557</v>
      </c>
      <c r="G68" s="4">
        <v>0.3764</v>
      </c>
      <c r="H68" s="4">
        <v>0.4735</v>
      </c>
      <c r="I68" s="4">
        <v>0.36</v>
      </c>
      <c r="J68" s="4">
        <v>0.3678</v>
      </c>
      <c r="K68" s="28">
        <v>0.31123140831476476</v>
      </c>
    </row>
    <row r="69" spans="4:11" ht="15.75">
      <c r="D69" s="4">
        <v>2200</v>
      </c>
      <c r="E69" s="4">
        <v>0.5848</v>
      </c>
      <c r="F69" s="4">
        <v>0.3571</v>
      </c>
      <c r="G69" s="4">
        <v>0.3781</v>
      </c>
      <c r="H69" s="4">
        <v>0.4779</v>
      </c>
      <c r="I69" s="4">
        <v>0.3615</v>
      </c>
      <c r="J69" s="4">
        <v>0.3693</v>
      </c>
      <c r="K69" s="28">
        <v>0.3163468654491726</v>
      </c>
    </row>
    <row r="70" spans="4:11" ht="15.75">
      <c r="D70" s="4">
        <v>2300</v>
      </c>
      <c r="E70" s="4">
        <v>0.5876</v>
      </c>
      <c r="F70" s="4">
        <v>0.3585</v>
      </c>
      <c r="G70" s="4">
        <v>0.3797</v>
      </c>
      <c r="H70" s="4">
        <v>0.4822</v>
      </c>
      <c r="I70" s="4">
        <v>0.3629</v>
      </c>
      <c r="J70" s="4">
        <v>0.3708</v>
      </c>
      <c r="K70" s="28">
        <v>0.3214623225835805</v>
      </c>
    </row>
    <row r="71" spans="4:11" ht="15.75">
      <c r="D71" s="4">
        <v>2400</v>
      </c>
      <c r="E71" s="4">
        <v>0.5902</v>
      </c>
      <c r="F71" s="4">
        <v>0.3598</v>
      </c>
      <c r="G71" s="4">
        <v>0.3813</v>
      </c>
      <c r="H71" s="4">
        <v>0.4864</v>
      </c>
      <c r="I71" s="4">
        <v>0.3643</v>
      </c>
      <c r="J71" s="4">
        <v>0.3722</v>
      </c>
      <c r="K71" s="28">
        <v>0.3265777797179883</v>
      </c>
    </row>
    <row r="72" spans="4:11" ht="15.75">
      <c r="D72" s="4">
        <v>2500</v>
      </c>
      <c r="E72" s="4">
        <v>0.5926</v>
      </c>
      <c r="F72" s="4">
        <v>0.361</v>
      </c>
      <c r="G72" s="4">
        <v>0.3828</v>
      </c>
      <c r="H72" s="4">
        <v>0.4903</v>
      </c>
      <c r="I72" s="4">
        <v>0.3655</v>
      </c>
      <c r="J72" s="4">
        <v>0.3735</v>
      </c>
      <c r="K72" s="28">
        <v>0.33169323685239616</v>
      </c>
    </row>
    <row r="73" spans="4:12" ht="15">
      <c r="D73" s="3" t="s">
        <v>544</v>
      </c>
      <c r="E73" s="3" t="s">
        <v>413</v>
      </c>
      <c r="F73" s="3" t="s">
        <v>415</v>
      </c>
      <c r="G73" s="3" t="s">
        <v>416</v>
      </c>
      <c r="H73" s="3" t="s">
        <v>417</v>
      </c>
      <c r="I73" s="3" t="s">
        <v>418</v>
      </c>
      <c r="J73" s="3" t="s">
        <v>419</v>
      </c>
      <c r="K73" s="3" t="s">
        <v>420</v>
      </c>
      <c r="L73" s="3" t="s">
        <v>421</v>
      </c>
    </row>
    <row r="74" spans="4:12" ht="15">
      <c r="D74" s="4">
        <v>0</v>
      </c>
      <c r="E74" s="4">
        <v>0.31</v>
      </c>
      <c r="F74" s="4">
        <v>0.305</v>
      </c>
      <c r="G74" s="4">
        <v>0.37</v>
      </c>
      <c r="H74" s="4">
        <v>0.36</v>
      </c>
      <c r="I74" s="4">
        <v>0.528</v>
      </c>
      <c r="J74" s="4">
        <v>0.728</v>
      </c>
      <c r="K74" s="4">
        <v>0.986</v>
      </c>
      <c r="L74" s="4">
        <v>1.225</v>
      </c>
    </row>
    <row r="75" spans="4:12" ht="15">
      <c r="D75" s="4">
        <v>100</v>
      </c>
      <c r="E75" s="4">
        <v>0.311</v>
      </c>
      <c r="F75" s="4">
        <v>0.308</v>
      </c>
      <c r="G75" s="4">
        <v>0.392</v>
      </c>
      <c r="H75" s="4">
        <v>0.366</v>
      </c>
      <c r="I75" s="4">
        <v>0.596</v>
      </c>
      <c r="J75" s="4">
        <v>0.838</v>
      </c>
      <c r="K75" s="4">
        <v>1.124</v>
      </c>
      <c r="L75" s="4">
        <v>1.394</v>
      </c>
    </row>
    <row r="76" spans="4:12" ht="15">
      <c r="D76" s="4">
        <v>200</v>
      </c>
      <c r="E76" s="4">
        <v>0.312</v>
      </c>
      <c r="F76" s="4">
        <v>0.31</v>
      </c>
      <c r="G76" s="4">
        <v>0.42</v>
      </c>
      <c r="H76" s="4">
        <v>0.373</v>
      </c>
      <c r="I76" s="4">
        <v>0.663</v>
      </c>
      <c r="J76" s="4">
        <v>0.947</v>
      </c>
      <c r="K76" s="4">
        <v>1.255</v>
      </c>
      <c r="L76" s="4">
        <v>1.556</v>
      </c>
    </row>
    <row r="77" spans="4:12" ht="15">
      <c r="D77" s="4">
        <v>300</v>
      </c>
      <c r="E77" s="4">
        <v>0.314</v>
      </c>
      <c r="F77" s="4">
        <v>0.31</v>
      </c>
      <c r="G77" s="4">
        <v>0.45</v>
      </c>
      <c r="H77" s="4">
        <v>0.381</v>
      </c>
      <c r="I77" s="4">
        <v>0.727</v>
      </c>
      <c r="J77" s="4">
        <v>1.044</v>
      </c>
      <c r="K77" s="4">
        <v>1.379</v>
      </c>
      <c r="L77" s="4">
        <v>1.704</v>
      </c>
    </row>
    <row r="78" spans="4:12" ht="15">
      <c r="D78" s="4">
        <v>400</v>
      </c>
      <c r="E78" s="4">
        <v>0.317</v>
      </c>
      <c r="F78" s="4">
        <v>0.311</v>
      </c>
      <c r="G78" s="4">
        <v>0.481</v>
      </c>
      <c r="H78" s="4">
        <v>0.39</v>
      </c>
      <c r="I78" s="4">
        <v>0.79</v>
      </c>
      <c r="J78" s="4">
        <v>1.137</v>
      </c>
      <c r="K78" s="4">
        <v>1.497</v>
      </c>
      <c r="L78" s="4">
        <v>1.849</v>
      </c>
    </row>
    <row r="79" spans="4:12" ht="15">
      <c r="D79" s="4">
        <v>500</v>
      </c>
      <c r="E79" s="4">
        <v>0.321</v>
      </c>
      <c r="F79" s="4">
        <v>0.312</v>
      </c>
      <c r="G79" s="4">
        <v>0.511</v>
      </c>
      <c r="H79" s="4">
        <v>0.399</v>
      </c>
      <c r="I79" s="4">
        <v>0.849</v>
      </c>
      <c r="J79" s="4">
        <v>1.217</v>
      </c>
      <c r="K79" s="4">
        <v>1.598</v>
      </c>
      <c r="L79" s="4">
        <v>1.972</v>
      </c>
    </row>
    <row r="80" spans="4:12" ht="15">
      <c r="D80" s="4">
        <v>600</v>
      </c>
      <c r="E80" s="4">
        <v>0.324</v>
      </c>
      <c r="F80" s="4">
        <v>0.312</v>
      </c>
      <c r="G80" s="4">
        <v>0.54</v>
      </c>
      <c r="H80" s="4">
        <v>0.408</v>
      </c>
      <c r="I80" s="4">
        <v>0.902</v>
      </c>
      <c r="J80" s="4">
        <v>1.297</v>
      </c>
      <c r="K80" s="4">
        <v>1.699</v>
      </c>
      <c r="L80" s="4">
        <v>2.098</v>
      </c>
    </row>
    <row r="81" spans="4:12" ht="15">
      <c r="D81" s="4">
        <v>700</v>
      </c>
      <c r="E81" s="4">
        <v>0.328</v>
      </c>
      <c r="F81" s="4">
        <v>0.313</v>
      </c>
      <c r="G81" s="4">
        <v>0.568</v>
      </c>
      <c r="H81" s="4">
        <v>0.417</v>
      </c>
      <c r="I81" s="4">
        <v>0.952</v>
      </c>
      <c r="J81" s="4">
        <v>1.367</v>
      </c>
      <c r="K81" s="4">
        <v>1.788</v>
      </c>
      <c r="L81" s="4">
        <v>2.205</v>
      </c>
    </row>
    <row r="82" spans="4:12" ht="15">
      <c r="D82" s="4">
        <v>800</v>
      </c>
      <c r="E82" s="4">
        <v>0.331</v>
      </c>
      <c r="F82" s="4">
        <v>0.314</v>
      </c>
      <c r="G82" s="4">
        <v>0.596</v>
      </c>
      <c r="H82" s="4">
        <v>0.426</v>
      </c>
      <c r="I82" s="4">
        <v>0.999</v>
      </c>
      <c r="J82" s="4">
        <v>1.43</v>
      </c>
      <c r="K82" s="4">
        <v>1.865</v>
      </c>
      <c r="L82" s="4">
        <v>2.299</v>
      </c>
    </row>
    <row r="83" spans="4:12" ht="15">
      <c r="D83" s="4">
        <v>900</v>
      </c>
      <c r="E83" s="4">
        <v>0.334</v>
      </c>
      <c r="F83" s="4">
        <v>0.316</v>
      </c>
      <c r="G83" s="4">
        <v>0.622</v>
      </c>
      <c r="H83" s="4">
        <v>0.434</v>
      </c>
      <c r="I83" s="4">
        <v>1.042</v>
      </c>
      <c r="J83" s="4">
        <v>1.488</v>
      </c>
      <c r="K83" s="4">
        <v>1.938</v>
      </c>
      <c r="L83" s="4">
        <v>2.386</v>
      </c>
    </row>
    <row r="84" spans="4:12" ht="15">
      <c r="D84" s="4">
        <v>1000</v>
      </c>
      <c r="E84" s="4">
        <v>0.337</v>
      </c>
      <c r="F84" s="4">
        <v>0.317</v>
      </c>
      <c r="G84" s="4">
        <v>0.645</v>
      </c>
      <c r="H84" s="4">
        <v>0.442</v>
      </c>
      <c r="I84" s="4">
        <v>1.082</v>
      </c>
      <c r="J84" s="4">
        <v>1.543</v>
      </c>
      <c r="K84" s="4">
        <v>2.007</v>
      </c>
      <c r="L84" s="4">
        <v>2.471</v>
      </c>
    </row>
    <row r="85" spans="4:11" ht="15">
      <c r="D85" s="4"/>
      <c r="E85" s="4"/>
      <c r="F85" s="4"/>
      <c r="G85" s="4"/>
      <c r="H85" s="4"/>
      <c r="I85" s="4"/>
      <c r="J85" s="4"/>
      <c r="K85" s="6"/>
    </row>
    <row r="86" spans="4:11" ht="15">
      <c r="D86" s="4" t="s">
        <v>423</v>
      </c>
      <c r="E86" s="4"/>
      <c r="F86" s="4"/>
      <c r="G86" s="4"/>
      <c r="H86" s="4"/>
      <c r="I86" s="4"/>
      <c r="J86" s="4"/>
      <c r="K86" s="6"/>
    </row>
    <row r="87" spans="3:11" ht="15">
      <c r="C87" s="1" t="s">
        <v>549</v>
      </c>
      <c r="D87" s="4"/>
      <c r="E87" s="4"/>
      <c r="F87" s="4"/>
      <c r="G87" s="4"/>
      <c r="H87" s="4"/>
      <c r="I87" s="4"/>
      <c r="J87" s="4"/>
      <c r="K87" s="6"/>
    </row>
    <row r="88" spans="4:11" ht="15">
      <c r="D88" s="1" t="s">
        <v>494</v>
      </c>
      <c r="E88" s="4"/>
      <c r="F88" s="4"/>
      <c r="G88" s="4"/>
      <c r="H88" s="4"/>
      <c r="I88" s="4"/>
      <c r="J88" s="4"/>
      <c r="K88" s="6"/>
    </row>
    <row r="89" spans="4:11" ht="15">
      <c r="D89" s="2" t="s">
        <v>484</v>
      </c>
      <c r="E89" s="4"/>
      <c r="F89" s="4"/>
      <c r="G89" s="4"/>
      <c r="H89" s="4"/>
      <c r="I89" s="4"/>
      <c r="J89" s="4"/>
      <c r="K89" s="6"/>
    </row>
    <row r="90" ht="15">
      <c r="C90" s="1" t="s">
        <v>550</v>
      </c>
    </row>
    <row r="91" ht="15">
      <c r="D91" s="1" t="s">
        <v>495</v>
      </c>
    </row>
    <row r="92" spans="1:4" ht="15">
      <c r="A92" s="2"/>
      <c r="B92" s="1"/>
      <c r="C92" s="1"/>
      <c r="D92" s="2" t="s">
        <v>485</v>
      </c>
    </row>
    <row r="93" spans="1:3" ht="15">
      <c r="A93" s="2"/>
      <c r="B93" s="1"/>
      <c r="C93" s="1" t="s">
        <v>551</v>
      </c>
    </row>
    <row r="94" ht="15">
      <c r="D94" s="1" t="s">
        <v>495</v>
      </c>
    </row>
    <row r="95" spans="1:4" ht="15">
      <c r="A95" s="2"/>
      <c r="B95" s="1"/>
      <c r="C95" s="1"/>
      <c r="D95" s="2" t="s">
        <v>484</v>
      </c>
    </row>
    <row r="96" spans="1:3" ht="15">
      <c r="A96" s="2"/>
      <c r="B96" s="1"/>
      <c r="C96" s="1" t="s">
        <v>552</v>
      </c>
    </row>
    <row r="97" ht="15">
      <c r="D97" s="1" t="s">
        <v>496</v>
      </c>
    </row>
    <row r="98" spans="1:4" ht="15">
      <c r="A98" s="2"/>
      <c r="B98" s="1"/>
      <c r="C98" s="1"/>
      <c r="D98" s="2" t="s">
        <v>484</v>
      </c>
    </row>
    <row r="99" spans="1:3" ht="15">
      <c r="A99" s="2"/>
      <c r="B99" s="1"/>
      <c r="C99" s="1" t="s">
        <v>553</v>
      </c>
    </row>
    <row r="100" ht="15">
      <c r="D100" s="1" t="s">
        <v>497</v>
      </c>
    </row>
    <row r="101" spans="1:4" ht="15">
      <c r="A101" s="2"/>
      <c r="B101" s="1"/>
      <c r="C101" s="1"/>
      <c r="D101" s="2" t="s">
        <v>486</v>
      </c>
    </row>
    <row r="102" spans="1:3" ht="15">
      <c r="A102" s="2"/>
      <c r="B102" s="1"/>
      <c r="C102" s="1" t="s">
        <v>554</v>
      </c>
    </row>
    <row r="103" ht="15">
      <c r="D103" s="1" t="s">
        <v>497</v>
      </c>
    </row>
    <row r="104" spans="1:4" ht="15">
      <c r="A104" s="2"/>
      <c r="B104" s="1"/>
      <c r="C104" s="1"/>
      <c r="D104" s="2" t="s">
        <v>486</v>
      </c>
    </row>
    <row r="105" spans="1:3" ht="15">
      <c r="A105" s="2"/>
      <c r="B105" s="1"/>
      <c r="C105" s="1" t="s">
        <v>555</v>
      </c>
    </row>
    <row r="106" ht="15">
      <c r="D106" s="2" t="s">
        <v>498</v>
      </c>
    </row>
    <row r="107" spans="1:4" ht="15">
      <c r="A107" s="2"/>
      <c r="B107" s="2"/>
      <c r="C107" s="1"/>
      <c r="D107" s="2" t="s">
        <v>487</v>
      </c>
    </row>
    <row r="108" spans="1:3" ht="15">
      <c r="A108" s="2"/>
      <c r="B108" s="2"/>
      <c r="C108" s="1" t="s">
        <v>556</v>
      </c>
    </row>
    <row r="109" ht="15">
      <c r="D109" s="2" t="s">
        <v>499</v>
      </c>
    </row>
    <row r="110" spans="2:3" ht="15">
      <c r="B110" s="2"/>
      <c r="C110" s="8" t="s">
        <v>557</v>
      </c>
    </row>
    <row r="111" spans="2:4" ht="15">
      <c r="B111" s="2"/>
      <c r="C111" s="1"/>
      <c r="D111" s="8" t="s">
        <v>500</v>
      </c>
    </row>
    <row r="112" ht="15">
      <c r="C112" s="1" t="s">
        <v>558</v>
      </c>
    </row>
    <row r="113" ht="15">
      <c r="D113" s="1" t="s">
        <v>501</v>
      </c>
    </row>
    <row r="114" ht="15">
      <c r="D114" s="2" t="s">
        <v>488</v>
      </c>
    </row>
    <row r="115" ht="15">
      <c r="C115" s="1" t="s">
        <v>559</v>
      </c>
    </row>
    <row r="116" spans="1:4" ht="15">
      <c r="A116" s="2"/>
      <c r="B116" s="1"/>
      <c r="C116" s="1"/>
      <c r="D116" s="1" t="s">
        <v>501</v>
      </c>
    </row>
    <row r="117" spans="1:4" ht="15">
      <c r="A117" s="2"/>
      <c r="B117" s="1"/>
      <c r="C117" s="1"/>
      <c r="D117" s="2" t="s">
        <v>486</v>
      </c>
    </row>
    <row r="118" ht="15">
      <c r="C118" s="1" t="s">
        <v>560</v>
      </c>
    </row>
    <row r="119" ht="15">
      <c r="D119" s="1" t="s">
        <v>502</v>
      </c>
    </row>
    <row r="120" spans="1:4" ht="15">
      <c r="A120" s="2"/>
      <c r="B120" s="1"/>
      <c r="C120" s="1"/>
      <c r="D120" s="2" t="s">
        <v>484</v>
      </c>
    </row>
    <row r="121" spans="1:3" ht="15">
      <c r="A121" s="2"/>
      <c r="B121" s="1"/>
      <c r="C121" s="1" t="s">
        <v>561</v>
      </c>
    </row>
    <row r="122" ht="15">
      <c r="D122" s="1" t="s">
        <v>501</v>
      </c>
    </row>
    <row r="123" spans="1:4" ht="15">
      <c r="A123" s="2"/>
      <c r="B123" s="1"/>
      <c r="C123" s="1"/>
      <c r="D123" s="2" t="s">
        <v>486</v>
      </c>
    </row>
    <row r="124" spans="1:3" ht="15">
      <c r="A124" s="2"/>
      <c r="B124" s="1"/>
      <c r="C124" s="1" t="s">
        <v>562</v>
      </c>
    </row>
    <row r="125" ht="15">
      <c r="D125" s="1" t="s">
        <v>501</v>
      </c>
    </row>
    <row r="126" spans="1:4" ht="15">
      <c r="A126" s="2"/>
      <c r="B126" s="1"/>
      <c r="C126" s="1"/>
      <c r="D126" s="2" t="s">
        <v>486</v>
      </c>
    </row>
    <row r="127" spans="1:3" ht="15">
      <c r="A127" s="2"/>
      <c r="B127" s="1"/>
      <c r="C127" s="1" t="s">
        <v>563</v>
      </c>
    </row>
    <row r="128" ht="15">
      <c r="D128" s="1" t="s">
        <v>501</v>
      </c>
    </row>
    <row r="129" spans="1:4" ht="15">
      <c r="A129" s="2"/>
      <c r="B129" s="1"/>
      <c r="C129" s="1"/>
      <c r="D129" s="2" t="s">
        <v>486</v>
      </c>
    </row>
    <row r="130" spans="1:3" ht="15">
      <c r="A130" s="2"/>
      <c r="B130" s="1"/>
      <c r="C130" s="1" t="s">
        <v>564</v>
      </c>
    </row>
    <row r="131" ht="15">
      <c r="D131" s="1" t="s">
        <v>501</v>
      </c>
    </row>
    <row r="132" spans="1:4" ht="15">
      <c r="A132" s="2"/>
      <c r="B132" s="1"/>
      <c r="C132" s="1"/>
      <c r="D132" s="2" t="s">
        <v>486</v>
      </c>
    </row>
    <row r="133" spans="1:3" ht="15">
      <c r="A133" s="2"/>
      <c r="B133" s="1"/>
      <c r="C133" s="1" t="s">
        <v>565</v>
      </c>
    </row>
    <row r="134" ht="15">
      <c r="D134" s="1" t="s">
        <v>501</v>
      </c>
    </row>
    <row r="135" spans="1:4" ht="15">
      <c r="A135" s="2"/>
      <c r="D135" s="2" t="s">
        <v>486</v>
      </c>
    </row>
    <row r="136" spans="1:4" ht="15">
      <c r="A136" s="2"/>
      <c r="D136" s="2"/>
    </row>
    <row r="137" ht="15">
      <c r="C137" s="1" t="s">
        <v>566</v>
      </c>
    </row>
    <row r="138" ht="15">
      <c r="C138" s="1" t="s">
        <v>567</v>
      </c>
    </row>
    <row r="139" ht="15">
      <c r="C139" s="1" t="s">
        <v>568</v>
      </c>
    </row>
    <row r="140" ht="15">
      <c r="D140" s="1" t="s">
        <v>82</v>
      </c>
    </row>
    <row r="141" ht="15">
      <c r="C141" s="1" t="s">
        <v>569</v>
      </c>
    </row>
    <row r="142" ht="15">
      <c r="D142" s="1" t="s">
        <v>83</v>
      </c>
    </row>
    <row r="143" ht="15">
      <c r="C143" s="1" t="s">
        <v>570</v>
      </c>
    </row>
    <row r="144" ht="15">
      <c r="C144" s="1"/>
    </row>
    <row r="145" spans="3:8" ht="15">
      <c r="C145" s="2"/>
      <c r="D145" s="8" t="s">
        <v>84</v>
      </c>
      <c r="E145" s="8"/>
      <c r="F145" s="8"/>
      <c r="G145" s="8"/>
      <c r="H145" s="8"/>
    </row>
    <row r="146" ht="15">
      <c r="C146" s="1" t="s">
        <v>571</v>
      </c>
    </row>
    <row r="147" spans="2:4" ht="15">
      <c r="B147" s="1"/>
      <c r="C147" s="1"/>
      <c r="D147" s="1" t="s">
        <v>503</v>
      </c>
    </row>
    <row r="148" ht="15">
      <c r="C148" s="1" t="s">
        <v>572</v>
      </c>
    </row>
    <row r="149" spans="2:4" ht="15">
      <c r="B149" s="1"/>
      <c r="C149" s="1"/>
      <c r="D149" s="1" t="s">
        <v>504</v>
      </c>
    </row>
    <row r="150" ht="15">
      <c r="C150" s="1" t="s">
        <v>573</v>
      </c>
    </row>
    <row r="151" spans="2:4" ht="15">
      <c r="B151" s="1"/>
      <c r="C151" s="1"/>
      <c r="D151" s="1" t="s">
        <v>505</v>
      </c>
    </row>
    <row r="152" ht="15">
      <c r="C152" s="1" t="s">
        <v>0</v>
      </c>
    </row>
    <row r="153" spans="2:4" ht="15">
      <c r="B153" s="1"/>
      <c r="C153" s="1"/>
      <c r="D153" s="1" t="s">
        <v>506</v>
      </c>
    </row>
    <row r="154" ht="15">
      <c r="C154" s="1" t="s">
        <v>1</v>
      </c>
    </row>
    <row r="155" spans="2:4" ht="15">
      <c r="B155" s="1"/>
      <c r="C155" s="1"/>
      <c r="D155" s="1" t="s">
        <v>507</v>
      </c>
    </row>
    <row r="156" ht="15">
      <c r="C156" s="1" t="s">
        <v>2</v>
      </c>
    </row>
    <row r="157" spans="2:4" ht="15">
      <c r="B157" s="2"/>
      <c r="C157" s="1"/>
      <c r="D157" s="2" t="s">
        <v>508</v>
      </c>
    </row>
    <row r="158" ht="15">
      <c r="E158" s="1" t="s">
        <v>303</v>
      </c>
    </row>
    <row r="159" spans="4:5" ht="15">
      <c r="D159" s="1"/>
      <c r="E159" s="1" t="s">
        <v>85</v>
      </c>
    </row>
    <row r="160" spans="4:5" ht="15">
      <c r="D160" s="1"/>
      <c r="E160" s="1"/>
    </row>
    <row r="161" spans="4:11" ht="15">
      <c r="D161" s="8" t="s">
        <v>86</v>
      </c>
      <c r="E161" s="8"/>
      <c r="F161" s="8"/>
      <c r="G161" s="8"/>
      <c r="H161" s="8"/>
      <c r="I161" s="8"/>
      <c r="J161" s="8"/>
      <c r="K161" s="8"/>
    </row>
    <row r="162" ht="15.75">
      <c r="D162" s="29" t="s">
        <v>5</v>
      </c>
    </row>
    <row r="163" spans="2:4" ht="15">
      <c r="B163" s="2"/>
      <c r="C163" s="2"/>
      <c r="D163" s="2" t="s">
        <v>509</v>
      </c>
    </row>
    <row r="164" spans="2:4" ht="15">
      <c r="B164" s="2"/>
      <c r="C164" s="2"/>
      <c r="D164" s="2" t="s">
        <v>3</v>
      </c>
    </row>
    <row r="165" spans="4:10" ht="15">
      <c r="D165" s="1" t="s">
        <v>87</v>
      </c>
      <c r="E165" s="1" t="s">
        <v>304</v>
      </c>
      <c r="F165" s="3" t="s">
        <v>369</v>
      </c>
      <c r="G165" s="1" t="s">
        <v>88</v>
      </c>
      <c r="H165" s="1" t="s">
        <v>387</v>
      </c>
      <c r="I165" s="3" t="s">
        <v>404</v>
      </c>
      <c r="J165" s="3" t="s">
        <v>544</v>
      </c>
    </row>
    <row r="166" spans="4:10" ht="15.75">
      <c r="D166" s="4">
        <f>1-E166</f>
        <v>0.8</v>
      </c>
      <c r="E166" s="23">
        <v>0.2</v>
      </c>
      <c r="F166" s="23">
        <v>32</v>
      </c>
      <c r="G166" s="4">
        <f>(0.309701-0.00000555238*(J166+100)^1.1+0.0000000160444*(J166+100)^2.2-0.00000000000568436*(J166+100)^3.3+0.000000000000000856875*(J166+100)^4.4-0.0000000000000000000482474*(J166+100)^5.5)*J166</f>
        <v>31.89246156949176</v>
      </c>
      <c r="H166" s="4">
        <f>(0.317715-0.000574557*(J166+100)^0.7+0.0000164618*(J166+100)^1.4-0.000000119525*(J166+100)^2.1+0.000000000385185*(J166+100)^2.8-0.000000000000467365*(J166+100)^3.5)*J166</f>
        <v>32.43015372203296</v>
      </c>
      <c r="I166" s="4">
        <f>D166*G166+E166*H166</f>
        <v>32</v>
      </c>
      <c r="J166" s="4">
        <f>J166+2.5*(F166-I166)</f>
        <v>103.0533709720249</v>
      </c>
    </row>
    <row r="167" spans="4:10" ht="15">
      <c r="D167" s="1" t="s">
        <v>4</v>
      </c>
      <c r="E167" s="4"/>
      <c r="F167" s="4"/>
      <c r="G167" s="4"/>
      <c r="H167" s="4"/>
      <c r="I167" s="4"/>
      <c r="J167" s="4"/>
    </row>
    <row r="168" spans="4:10" ht="15">
      <c r="D168" s="4"/>
      <c r="E168" s="4"/>
      <c r="F168" s="4"/>
      <c r="G168" s="4"/>
      <c r="H168" s="4"/>
      <c r="I168" s="4"/>
      <c r="J168" s="4"/>
    </row>
    <row r="169" spans="4:10" ht="15">
      <c r="D169" s="8" t="s">
        <v>424</v>
      </c>
      <c r="E169" s="8"/>
      <c r="F169" s="8"/>
      <c r="G169" s="8"/>
      <c r="H169" s="8"/>
      <c r="I169" s="4"/>
      <c r="J169" s="4"/>
    </row>
    <row r="170" ht="15">
      <c r="D170" s="2" t="s">
        <v>589</v>
      </c>
    </row>
    <row r="171" spans="4:9" ht="15">
      <c r="D171" s="1" t="s">
        <v>87</v>
      </c>
      <c r="E171" s="1" t="s">
        <v>305</v>
      </c>
      <c r="F171" s="1" t="s">
        <v>370</v>
      </c>
      <c r="G171" s="1" t="s">
        <v>304</v>
      </c>
      <c r="H171" s="3" t="s">
        <v>396</v>
      </c>
      <c r="I171" s="3" t="s">
        <v>369</v>
      </c>
    </row>
    <row r="172" spans="4:9" ht="15.75">
      <c r="D172" s="4">
        <f>1-E172-F172-G172</f>
        <v>0.7000000000000001</v>
      </c>
      <c r="E172" s="23">
        <v>0.1</v>
      </c>
      <c r="F172" s="23">
        <v>0.1</v>
      </c>
      <c r="G172" s="23">
        <v>0.1</v>
      </c>
      <c r="H172" s="23">
        <v>30</v>
      </c>
      <c r="I172" s="4">
        <v>33.00934224802086</v>
      </c>
    </row>
    <row r="173" spans="4:10" ht="15">
      <c r="D173" s="1" t="s">
        <v>88</v>
      </c>
      <c r="E173" s="1" t="s">
        <v>306</v>
      </c>
      <c r="F173" s="1" t="s">
        <v>371</v>
      </c>
      <c r="G173" s="1" t="s">
        <v>387</v>
      </c>
      <c r="H173" s="3" t="s">
        <v>397</v>
      </c>
      <c r="I173" s="3" t="s">
        <v>404</v>
      </c>
      <c r="J173" s="3" t="s">
        <v>544</v>
      </c>
    </row>
    <row r="174" spans="4:10" ht="15">
      <c r="D174" s="4">
        <f>(0.309701-0.00000555238*(J174+100)^1.1+0.0000000160444*(J174+100)^2.2-0.00000000000568436*(J174+100)^3.3+0.000000000000000856875*(J174+100)^4.4-0.0000000000000000000482474*(J174+100)^5.5)*J174</f>
        <v>30.94547853242217</v>
      </c>
      <c r="E174" s="4">
        <f>(0.356179-0.0000326182*(J174+100)^0.8+0.00000129519*(J174+100)^1.6-0.00000000148934*(J174+100)^2.4-0.000000000000594678*(J174+100)^3.2+0.00000000000000129158*(J174+100)^4)*J174</f>
        <v>35.963318125041425</v>
      </c>
      <c r="F174" s="4">
        <f>(0.34584+0.0008688*(J174+100)^0.82-0.00000109945*(J174+100)^1.64+0.00000000054341*(J174+100)^2.46)*J174</f>
        <v>40.651155267271136</v>
      </c>
      <c r="G174" s="4">
        <f>(0.317715-0.000574557*(J174+100)^0.7+0.0000164618*(J174+100)^1.4-0.000000119525*(J174+100)^2.1+0.000000000385185*(J174+100)^2.8-0.000000000000467365*(J174+100)^3.5)*J174</f>
        <v>31.457429024193235</v>
      </c>
      <c r="H174" s="4">
        <f>0.10364*J174^1.12+0.26993*IF(J174&lt;=1300,0,(J174-1300)^0.9)</f>
        <v>18.01056778915854</v>
      </c>
      <c r="I174" s="4">
        <f>D172*D174+E172*E174+F172*F174+G172*G174+0.001*H172*H174</f>
        <v>33.00934224802086</v>
      </c>
      <c r="J174" s="4">
        <f>J174+2.5*(I172-I174)</f>
        <v>100</v>
      </c>
    </row>
    <row r="175" spans="4:10" ht="15">
      <c r="D175" s="1" t="s">
        <v>590</v>
      </c>
      <c r="E175" s="4"/>
      <c r="F175" s="4"/>
      <c r="G175" s="4"/>
      <c r="H175" s="4"/>
      <c r="I175" s="4"/>
      <c r="J175" s="4"/>
    </row>
    <row r="176" spans="4:10" ht="15">
      <c r="D176" s="4"/>
      <c r="E176" s="4"/>
      <c r="F176" s="4"/>
      <c r="G176" s="4"/>
      <c r="H176" s="4"/>
      <c r="I176" s="4"/>
      <c r="J176" s="4"/>
    </row>
    <row r="177" ht="15">
      <c r="D177" s="1" t="s">
        <v>89</v>
      </c>
    </row>
    <row r="178" ht="15">
      <c r="D178" s="1" t="s">
        <v>90</v>
      </c>
    </row>
    <row r="179" spans="3:4" ht="15">
      <c r="C179" s="2"/>
      <c r="D179" s="2" t="s">
        <v>591</v>
      </c>
    </row>
    <row r="180" spans="3:4" ht="15">
      <c r="C180" s="2"/>
      <c r="D180" s="1" t="s">
        <v>91</v>
      </c>
    </row>
    <row r="181" ht="15">
      <c r="D181" s="1" t="s">
        <v>92</v>
      </c>
    </row>
    <row r="182" ht="15">
      <c r="D182" s="2" t="s">
        <v>592</v>
      </c>
    </row>
    <row r="183" ht="15">
      <c r="D183" s="1" t="s">
        <v>510</v>
      </c>
    </row>
    <row r="184" ht="15">
      <c r="C184" s="1" t="s">
        <v>593</v>
      </c>
    </row>
    <row r="185" ht="15">
      <c r="B185" s="1" t="s">
        <v>511</v>
      </c>
    </row>
    <row r="186" spans="2:6" ht="15">
      <c r="B186" s="1" t="s">
        <v>512</v>
      </c>
      <c r="F186" s="1" t="s">
        <v>372</v>
      </c>
    </row>
    <row r="187" ht="15">
      <c r="C187" s="1" t="s">
        <v>594</v>
      </c>
    </row>
    <row r="188" spans="2:7" ht="15">
      <c r="B188" s="1" t="s">
        <v>513</v>
      </c>
      <c r="G188" s="1" t="s">
        <v>388</v>
      </c>
    </row>
    <row r="189" spans="2:9" ht="15">
      <c r="B189" s="1" t="s">
        <v>514</v>
      </c>
      <c r="I189" s="1" t="s">
        <v>595</v>
      </c>
    </row>
    <row r="190" spans="4:11" ht="15">
      <c r="D190" s="3" t="s">
        <v>544</v>
      </c>
      <c r="E190" s="1" t="s">
        <v>307</v>
      </c>
      <c r="H190" s="1" t="s">
        <v>398</v>
      </c>
      <c r="K190" s="1" t="s">
        <v>411</v>
      </c>
    </row>
    <row r="191" spans="5:13" ht="15">
      <c r="E191" s="1" t="s">
        <v>308</v>
      </c>
      <c r="F191" s="1" t="s">
        <v>107</v>
      </c>
      <c r="G191" s="3" t="s">
        <v>108</v>
      </c>
      <c r="H191" s="1" t="s">
        <v>308</v>
      </c>
      <c r="I191" s="1" t="s">
        <v>107</v>
      </c>
      <c r="J191" s="3" t="s">
        <v>108</v>
      </c>
      <c r="K191" s="1" t="s">
        <v>308</v>
      </c>
      <c r="L191" s="1" t="s">
        <v>107</v>
      </c>
      <c r="M191" s="3" t="s">
        <v>108</v>
      </c>
    </row>
    <row r="192" spans="4:13" ht="15">
      <c r="D192" s="4">
        <v>0</v>
      </c>
      <c r="E192" s="4">
        <v>13.3</v>
      </c>
      <c r="F192" s="4">
        <v>2.1</v>
      </c>
      <c r="G192" s="3" t="s">
        <v>389</v>
      </c>
      <c r="H192" s="4">
        <v>12.2</v>
      </c>
      <c r="I192" s="4">
        <v>1.96</v>
      </c>
      <c r="J192" s="4">
        <v>0.72</v>
      </c>
      <c r="K192" s="4">
        <v>13.6</v>
      </c>
      <c r="L192" s="4">
        <v>2.51</v>
      </c>
      <c r="M192" s="4">
        <v>0.735</v>
      </c>
    </row>
    <row r="193" spans="4:13" ht="15">
      <c r="D193" s="4">
        <v>100</v>
      </c>
      <c r="E193" s="4">
        <v>23</v>
      </c>
      <c r="F193" s="4">
        <v>2.76</v>
      </c>
      <c r="G193" s="3" t="s">
        <v>389</v>
      </c>
      <c r="H193" s="4">
        <v>21.5</v>
      </c>
      <c r="I193" s="4">
        <v>2.69</v>
      </c>
      <c r="J193" s="4">
        <v>0.69</v>
      </c>
      <c r="K193" s="4">
        <v>23.5</v>
      </c>
      <c r="L193" s="4">
        <v>3.62</v>
      </c>
      <c r="M193" s="4">
        <v>0.734</v>
      </c>
    </row>
    <row r="194" spans="4:13" ht="15">
      <c r="D194" s="4">
        <v>200</v>
      </c>
      <c r="E194" s="4">
        <v>34.8</v>
      </c>
      <c r="F194" s="4">
        <v>3.38</v>
      </c>
      <c r="G194" s="3" t="s">
        <v>389</v>
      </c>
      <c r="H194" s="4">
        <v>32.8</v>
      </c>
      <c r="I194" s="4">
        <v>3.45</v>
      </c>
      <c r="J194" s="4">
        <v>0.67</v>
      </c>
      <c r="K194" s="4">
        <v>36</v>
      </c>
      <c r="L194" s="4">
        <v>4.77</v>
      </c>
      <c r="M194" s="4">
        <v>0.763</v>
      </c>
    </row>
    <row r="195" spans="4:13" ht="15">
      <c r="D195" s="4">
        <v>300</v>
      </c>
      <c r="E195" s="4">
        <v>48.2</v>
      </c>
      <c r="F195" s="4">
        <v>3.96</v>
      </c>
      <c r="G195" s="3" t="s">
        <v>389</v>
      </c>
      <c r="H195" s="4">
        <v>45.8</v>
      </c>
      <c r="I195" s="4">
        <v>4.16</v>
      </c>
      <c r="J195" s="4">
        <v>0.65</v>
      </c>
      <c r="K195" s="4">
        <v>50.2</v>
      </c>
      <c r="L195" s="4">
        <v>5.98</v>
      </c>
      <c r="M195" s="4">
        <v>0.797</v>
      </c>
    </row>
    <row r="196" spans="4:13" ht="15">
      <c r="D196" s="4">
        <v>400</v>
      </c>
      <c r="E196" s="4">
        <v>63</v>
      </c>
      <c r="F196" s="4">
        <v>4.48</v>
      </c>
      <c r="G196" s="3" t="s">
        <v>389</v>
      </c>
      <c r="H196" s="4">
        <v>60.4</v>
      </c>
      <c r="I196" s="4">
        <v>4.9</v>
      </c>
      <c r="J196" s="4">
        <v>0.64</v>
      </c>
      <c r="K196" s="4">
        <v>67</v>
      </c>
      <c r="L196" s="4">
        <v>7.21</v>
      </c>
      <c r="M196" s="4">
        <v>0.836</v>
      </c>
    </row>
    <row r="197" spans="4:13" ht="15">
      <c r="D197" s="4">
        <v>500</v>
      </c>
      <c r="E197" s="4">
        <v>79.3</v>
      </c>
      <c r="F197" s="4">
        <v>4.94</v>
      </c>
      <c r="G197" s="3" t="s">
        <v>389</v>
      </c>
      <c r="H197" s="4">
        <v>76.3</v>
      </c>
      <c r="I197" s="4">
        <v>5.64</v>
      </c>
      <c r="J197" s="4">
        <v>0.63</v>
      </c>
      <c r="K197" s="4">
        <v>85.9</v>
      </c>
      <c r="L197" s="4">
        <v>8.49</v>
      </c>
      <c r="M197" s="4">
        <v>0.862</v>
      </c>
    </row>
    <row r="198" spans="4:13" ht="15">
      <c r="D198" s="4">
        <v>600</v>
      </c>
      <c r="E198" s="4">
        <v>96.8</v>
      </c>
      <c r="F198" s="4">
        <v>5.36</v>
      </c>
      <c r="G198" s="3" t="s">
        <v>389</v>
      </c>
      <c r="H198" s="4">
        <v>93.6</v>
      </c>
      <c r="I198" s="4">
        <v>6.38</v>
      </c>
      <c r="J198" s="4">
        <v>0.62</v>
      </c>
      <c r="K198" s="4">
        <v>107</v>
      </c>
      <c r="L198" s="4">
        <v>9.79</v>
      </c>
      <c r="M198" s="4">
        <v>0.886</v>
      </c>
    </row>
    <row r="199" spans="4:13" ht="15">
      <c r="D199" s="4">
        <v>700</v>
      </c>
      <c r="E199" s="4">
        <v>115</v>
      </c>
      <c r="F199" s="4">
        <v>5.77</v>
      </c>
      <c r="G199" s="3" t="s">
        <v>389</v>
      </c>
      <c r="H199" s="4">
        <v>112</v>
      </c>
      <c r="I199" s="4">
        <v>7.11</v>
      </c>
      <c r="J199" s="4">
        <v>0.61</v>
      </c>
      <c r="K199" s="4">
        <v>130</v>
      </c>
      <c r="L199" s="4">
        <v>11.1</v>
      </c>
      <c r="M199" s="4">
        <v>0.904</v>
      </c>
    </row>
    <row r="200" spans="4:13" ht="15">
      <c r="D200" s="4">
        <v>800</v>
      </c>
      <c r="E200" s="4">
        <v>135</v>
      </c>
      <c r="F200" s="4">
        <v>6.17</v>
      </c>
      <c r="G200" s="3" t="s">
        <v>389</v>
      </c>
      <c r="H200" s="4">
        <v>132</v>
      </c>
      <c r="I200" s="4">
        <v>7.78</v>
      </c>
      <c r="J200" s="4">
        <v>0.6</v>
      </c>
      <c r="K200" s="4">
        <v>154</v>
      </c>
      <c r="L200" s="4">
        <v>12.4</v>
      </c>
      <c r="M200" s="4">
        <v>0.917</v>
      </c>
    </row>
    <row r="201" spans="4:13" ht="15">
      <c r="D201" s="4">
        <v>900</v>
      </c>
      <c r="E201" s="4">
        <v>155</v>
      </c>
      <c r="F201" s="4">
        <v>6.56</v>
      </c>
      <c r="G201" s="3" t="s">
        <v>389</v>
      </c>
      <c r="H201" s="4">
        <v>152</v>
      </c>
      <c r="I201" s="4">
        <v>8.61</v>
      </c>
      <c r="J201" s="4">
        <v>0.59</v>
      </c>
      <c r="K201" s="4">
        <v>180</v>
      </c>
      <c r="L201" s="4">
        <v>13.8</v>
      </c>
      <c r="M201" s="4">
        <v>0.925</v>
      </c>
    </row>
    <row r="202" spans="4:13" ht="15">
      <c r="D202" s="4">
        <v>1000</v>
      </c>
      <c r="E202" s="4">
        <v>178</v>
      </c>
      <c r="F202" s="4">
        <v>6.94</v>
      </c>
      <c r="G202" s="3" t="s">
        <v>389</v>
      </c>
      <c r="H202" s="4">
        <v>174</v>
      </c>
      <c r="I202" s="4">
        <v>9.37</v>
      </c>
      <c r="J202" s="4">
        <v>0.58</v>
      </c>
      <c r="K202" s="4">
        <v>207</v>
      </c>
      <c r="L202" s="4">
        <v>15.2</v>
      </c>
      <c r="M202" s="4">
        <v>0.928</v>
      </c>
    </row>
    <row r="203" spans="4:10" ht="15">
      <c r="D203" s="4">
        <v>1100</v>
      </c>
      <c r="E203" s="4">
        <v>199</v>
      </c>
      <c r="F203" s="4">
        <v>7.31</v>
      </c>
      <c r="G203" s="3" t="s">
        <v>389</v>
      </c>
      <c r="H203" s="4">
        <v>197</v>
      </c>
      <c r="I203" s="4">
        <v>10.1</v>
      </c>
      <c r="J203" s="4">
        <v>0.57</v>
      </c>
    </row>
    <row r="204" spans="4:10" ht="15">
      <c r="D204" s="4">
        <v>1200</v>
      </c>
      <c r="E204" s="4">
        <v>223</v>
      </c>
      <c r="F204" s="4">
        <v>7.67</v>
      </c>
      <c r="G204" s="3" t="s">
        <v>389</v>
      </c>
      <c r="H204" s="4">
        <v>221</v>
      </c>
      <c r="I204" s="4">
        <v>10.8</v>
      </c>
      <c r="J204" s="4">
        <v>0.56</v>
      </c>
    </row>
    <row r="205" spans="4:10" ht="15">
      <c r="D205" s="4">
        <v>1300</v>
      </c>
      <c r="G205" s="3" t="s">
        <v>389</v>
      </c>
      <c r="H205" s="4">
        <v>245</v>
      </c>
      <c r="I205" s="4">
        <v>11.6</v>
      </c>
      <c r="J205" s="4">
        <v>0.55</v>
      </c>
    </row>
    <row r="206" spans="4:10" ht="15">
      <c r="D206" s="4">
        <v>1400</v>
      </c>
      <c r="E206" s="4">
        <v>273</v>
      </c>
      <c r="F206" s="4">
        <v>8.58</v>
      </c>
      <c r="G206" s="3" t="s">
        <v>389</v>
      </c>
      <c r="H206" s="4">
        <v>272</v>
      </c>
      <c r="I206" s="4">
        <v>12.4</v>
      </c>
      <c r="J206" s="4">
        <v>0.54</v>
      </c>
    </row>
    <row r="207" spans="4:10" ht="15">
      <c r="D207" s="4">
        <v>1500</v>
      </c>
      <c r="G207" s="3" t="s">
        <v>389</v>
      </c>
      <c r="H207" s="4">
        <v>297</v>
      </c>
      <c r="I207" s="4">
        <v>13.2</v>
      </c>
      <c r="J207" s="4">
        <v>0.53</v>
      </c>
    </row>
    <row r="208" spans="4:10" ht="15">
      <c r="D208" s="4">
        <v>1600</v>
      </c>
      <c r="E208" s="4">
        <v>328</v>
      </c>
      <c r="F208" s="4">
        <v>9.27</v>
      </c>
      <c r="G208" s="3" t="s">
        <v>389</v>
      </c>
      <c r="H208" s="4">
        <v>323</v>
      </c>
      <c r="I208" s="4">
        <v>14</v>
      </c>
      <c r="J208" s="4">
        <v>0.52</v>
      </c>
    </row>
    <row r="209" ht="15">
      <c r="C209" s="1" t="s">
        <v>425</v>
      </c>
    </row>
    <row r="210" ht="15">
      <c r="B210" s="1" t="s">
        <v>426</v>
      </c>
    </row>
    <row r="211" ht="15">
      <c r="D211" s="1" t="s">
        <v>93</v>
      </c>
    </row>
    <row r="212" spans="2:6" ht="15">
      <c r="B212" s="2"/>
      <c r="C212" s="1"/>
      <c r="D212" s="1" t="s">
        <v>428</v>
      </c>
      <c r="F212" s="2" t="s">
        <v>486</v>
      </c>
    </row>
    <row r="213" spans="2:4" ht="15">
      <c r="B213" s="2"/>
      <c r="C213" s="1"/>
      <c r="D213" s="1" t="s">
        <v>94</v>
      </c>
    </row>
    <row r="214" spans="4:6" ht="15">
      <c r="D214" s="1" t="s">
        <v>429</v>
      </c>
      <c r="F214" s="2" t="s">
        <v>486</v>
      </c>
    </row>
    <row r="215" spans="3:4" ht="15">
      <c r="C215" s="1" t="s">
        <v>520</v>
      </c>
      <c r="D215" s="1" t="s">
        <v>95</v>
      </c>
    </row>
    <row r="216" spans="2:4" ht="15">
      <c r="B216" s="2"/>
      <c r="C216" s="1"/>
      <c r="D216" s="9" t="s">
        <v>427</v>
      </c>
    </row>
    <row r="217" spans="3:4" ht="15">
      <c r="C217" s="1" t="s">
        <v>520</v>
      </c>
      <c r="D217" s="1" t="s">
        <v>96</v>
      </c>
    </row>
    <row r="218" spans="2:4" ht="15">
      <c r="B218" s="2"/>
      <c r="C218" s="1"/>
      <c r="D218" s="9" t="s">
        <v>427</v>
      </c>
    </row>
    <row r="219" ht="15">
      <c r="D219" s="1" t="s">
        <v>97</v>
      </c>
    </row>
    <row r="220" spans="2:8" ht="15">
      <c r="B220" s="2"/>
      <c r="C220" s="1"/>
      <c r="D220" s="1" t="s">
        <v>430</v>
      </c>
      <c r="H220" s="2" t="s">
        <v>484</v>
      </c>
    </row>
    <row r="221" ht="15">
      <c r="D221" s="1" t="s">
        <v>98</v>
      </c>
    </row>
    <row r="222" ht="15">
      <c r="C222" s="1" t="s">
        <v>596</v>
      </c>
    </row>
    <row r="223" spans="3:4" ht="15">
      <c r="C223" s="1" t="s">
        <v>520</v>
      </c>
      <c r="D223" s="1" t="s">
        <v>99</v>
      </c>
    </row>
    <row r="224" spans="2:4" ht="15">
      <c r="B224" s="2"/>
      <c r="C224" s="1"/>
      <c r="D224" s="9" t="s">
        <v>431</v>
      </c>
    </row>
    <row r="225" spans="3:4" ht="15">
      <c r="C225" s="1" t="s">
        <v>520</v>
      </c>
      <c r="D225" s="1" t="s">
        <v>100</v>
      </c>
    </row>
    <row r="226" spans="2:4" ht="15">
      <c r="B226" s="2"/>
      <c r="C226" s="1"/>
      <c r="D226" s="9" t="s">
        <v>427</v>
      </c>
    </row>
    <row r="227" spans="3:4" ht="15">
      <c r="C227" s="1" t="s">
        <v>520</v>
      </c>
      <c r="D227" s="1" t="s">
        <v>101</v>
      </c>
    </row>
    <row r="228" spans="2:4" ht="15">
      <c r="B228" s="2"/>
      <c r="C228" s="1"/>
      <c r="D228" s="9" t="s">
        <v>432</v>
      </c>
    </row>
    <row r="229" spans="2:4" ht="15">
      <c r="B229" s="2"/>
      <c r="C229" s="1"/>
      <c r="D229" s="9"/>
    </row>
    <row r="230" ht="15">
      <c r="C230" s="1" t="s">
        <v>597</v>
      </c>
    </row>
    <row r="231" spans="3:5" ht="15">
      <c r="C231" s="1"/>
      <c r="E231" s="1" t="s">
        <v>598</v>
      </c>
    </row>
    <row r="232" spans="4:12" ht="15">
      <c r="D232" s="3" t="s">
        <v>544</v>
      </c>
      <c r="E232" s="3" t="s">
        <v>102</v>
      </c>
      <c r="F232" s="3" t="s">
        <v>373</v>
      </c>
      <c r="G232" s="3" t="s">
        <v>102</v>
      </c>
      <c r="H232" s="3" t="s">
        <v>373</v>
      </c>
      <c r="I232" s="3" t="s">
        <v>102</v>
      </c>
      <c r="J232" s="3" t="s">
        <v>373</v>
      </c>
      <c r="K232" s="3" t="s">
        <v>102</v>
      </c>
      <c r="L232" s="3" t="s">
        <v>373</v>
      </c>
    </row>
    <row r="233" spans="4:12" ht="15">
      <c r="D233" s="4">
        <v>0</v>
      </c>
      <c r="E233" s="4">
        <v>0.02</v>
      </c>
      <c r="F233" s="4">
        <v>0.98</v>
      </c>
      <c r="G233" s="4">
        <v>0.05</v>
      </c>
      <c r="H233" s="4">
        <v>1.004</v>
      </c>
      <c r="I233" s="4">
        <v>0.1</v>
      </c>
      <c r="J233" s="4">
        <v>1.0035</v>
      </c>
      <c r="K233" s="4">
        <v>0.15</v>
      </c>
      <c r="L233" s="4">
        <v>0.999</v>
      </c>
    </row>
    <row r="234" spans="4:12" ht="15">
      <c r="D234" s="4">
        <v>200</v>
      </c>
      <c r="E234" s="4">
        <v>0.02</v>
      </c>
      <c r="F234" s="4">
        <v>0.96</v>
      </c>
      <c r="G234" s="4">
        <v>0.05</v>
      </c>
      <c r="H234" s="4">
        <v>0.987</v>
      </c>
      <c r="I234" s="4">
        <v>0.1</v>
      </c>
      <c r="J234" s="4">
        <v>1.0024</v>
      </c>
      <c r="K234" s="4">
        <v>0.15</v>
      </c>
      <c r="L234" s="4">
        <v>1.0025</v>
      </c>
    </row>
    <row r="235" spans="4:12" ht="15">
      <c r="D235" s="4">
        <v>400</v>
      </c>
      <c r="E235" s="4">
        <v>0.02</v>
      </c>
      <c r="F235" s="4">
        <v>0.95</v>
      </c>
      <c r="G235" s="4">
        <v>0.05</v>
      </c>
      <c r="H235" s="4">
        <v>0.98</v>
      </c>
      <c r="I235" s="4">
        <v>0.1</v>
      </c>
      <c r="J235" s="4">
        <v>1.0013</v>
      </c>
      <c r="K235" s="4">
        <v>0.15</v>
      </c>
      <c r="L235" s="4">
        <v>1.0062</v>
      </c>
    </row>
    <row r="236" spans="4:12" ht="15">
      <c r="D236" s="4">
        <v>600</v>
      </c>
      <c r="E236" s="4">
        <v>0.02</v>
      </c>
      <c r="F236" s="4">
        <v>0.945</v>
      </c>
      <c r="G236" s="4">
        <v>0.05</v>
      </c>
      <c r="H236" s="4">
        <v>0.975</v>
      </c>
      <c r="I236" s="4">
        <v>0.1</v>
      </c>
      <c r="J236" s="4">
        <v>1</v>
      </c>
      <c r="K236" s="4">
        <v>0.15</v>
      </c>
      <c r="L236" s="4">
        <v>1.01</v>
      </c>
    </row>
    <row r="237" spans="4:12" ht="15">
      <c r="D237" s="4">
        <v>800</v>
      </c>
      <c r="E237" s="4">
        <v>0.02</v>
      </c>
      <c r="F237" s="4">
        <v>0.94</v>
      </c>
      <c r="G237" s="4">
        <v>0.05</v>
      </c>
      <c r="H237" s="4">
        <v>0.9715</v>
      </c>
      <c r="I237" s="4">
        <v>0.1</v>
      </c>
      <c r="J237" s="4">
        <v>0.9987</v>
      </c>
      <c r="K237" s="4">
        <v>0.15</v>
      </c>
      <c r="L237" s="4">
        <v>1.013</v>
      </c>
    </row>
    <row r="238" spans="4:12" ht="15">
      <c r="D238" s="4">
        <v>1000</v>
      </c>
      <c r="E238" s="4">
        <v>0.02</v>
      </c>
      <c r="F238" s="4">
        <v>0.938</v>
      </c>
      <c r="G238" s="4">
        <v>0.05</v>
      </c>
      <c r="H238" s="4">
        <v>0.97</v>
      </c>
      <c r="I238" s="4">
        <v>0.1</v>
      </c>
      <c r="J238" s="4">
        <v>0.9975</v>
      </c>
      <c r="K238" s="4">
        <v>0.15</v>
      </c>
      <c r="L238" s="4">
        <v>1.015</v>
      </c>
    </row>
    <row r="239" spans="4:12" ht="15">
      <c r="D239" s="4">
        <v>1200</v>
      </c>
      <c r="E239" s="4">
        <v>0.02</v>
      </c>
      <c r="F239" s="4">
        <v>0.936</v>
      </c>
      <c r="G239" s="4">
        <v>0.05</v>
      </c>
      <c r="H239" s="4">
        <v>0.969</v>
      </c>
      <c r="I239" s="4">
        <v>0.1</v>
      </c>
      <c r="J239" s="4">
        <v>0.996</v>
      </c>
      <c r="K239" s="4">
        <v>0.15</v>
      </c>
      <c r="L239" s="4">
        <v>1.0157</v>
      </c>
    </row>
    <row r="240" spans="4:12" ht="15">
      <c r="D240" s="4">
        <v>1400</v>
      </c>
      <c r="E240" s="4">
        <v>0.02</v>
      </c>
      <c r="F240" s="4">
        <v>0.9345</v>
      </c>
      <c r="G240" s="4">
        <v>0.05</v>
      </c>
      <c r="H240" s="4">
        <v>0.96845</v>
      </c>
      <c r="I240" s="4">
        <v>0.1</v>
      </c>
      <c r="J240" s="4">
        <v>0.9944</v>
      </c>
      <c r="K240" s="4">
        <v>0.15</v>
      </c>
      <c r="L240" s="4">
        <v>1.015</v>
      </c>
    </row>
    <row r="241" spans="4:12" ht="15">
      <c r="D241" s="4">
        <v>1600</v>
      </c>
      <c r="E241" s="4">
        <v>0.02</v>
      </c>
      <c r="F241" s="4">
        <v>0.9335</v>
      </c>
      <c r="G241" s="4">
        <v>0.05</v>
      </c>
      <c r="H241" s="4">
        <v>0.9678</v>
      </c>
      <c r="I241" s="4">
        <v>0.1</v>
      </c>
      <c r="J241" s="4">
        <v>0.993</v>
      </c>
      <c r="K241" s="4">
        <v>0.15</v>
      </c>
      <c r="L241" s="4">
        <v>1.014</v>
      </c>
    </row>
    <row r="242" spans="4:18" ht="15">
      <c r="D242" s="3" t="s">
        <v>544</v>
      </c>
      <c r="E242" s="3" t="s">
        <v>102</v>
      </c>
      <c r="F242" s="3" t="s">
        <v>373</v>
      </c>
      <c r="G242" s="3" t="s">
        <v>102</v>
      </c>
      <c r="H242" s="3" t="s">
        <v>373</v>
      </c>
      <c r="I242" s="3" t="s">
        <v>102</v>
      </c>
      <c r="J242" s="3" t="s">
        <v>373</v>
      </c>
      <c r="K242" s="4"/>
      <c r="L242" s="4"/>
      <c r="M242" s="4"/>
      <c r="N242" s="4"/>
      <c r="O242" s="4"/>
      <c r="P242" s="4"/>
      <c r="Q242" s="4"/>
      <c r="R242" s="4"/>
    </row>
    <row r="243" spans="4:18" ht="15">
      <c r="D243" s="4">
        <v>0</v>
      </c>
      <c r="E243" s="4">
        <v>0.2</v>
      </c>
      <c r="F243" s="4">
        <v>0.98</v>
      </c>
      <c r="G243" s="4">
        <v>0.25</v>
      </c>
      <c r="H243" s="4">
        <v>0.965</v>
      </c>
      <c r="I243" s="4">
        <v>0.29</v>
      </c>
      <c r="J243" s="4">
        <v>0.9547</v>
      </c>
      <c r="K243" s="4"/>
      <c r="L243" s="4"/>
      <c r="M243" s="4"/>
      <c r="N243" s="4"/>
      <c r="O243" s="4"/>
      <c r="P243" s="4"/>
      <c r="Q243" s="4"/>
      <c r="R243" s="4"/>
    </row>
    <row r="244" spans="4:18" ht="15">
      <c r="D244" s="4">
        <v>200</v>
      </c>
      <c r="E244" s="4">
        <v>0.2</v>
      </c>
      <c r="F244" s="4">
        <v>0.996</v>
      </c>
      <c r="G244" s="4">
        <v>0.25</v>
      </c>
      <c r="H244" s="4">
        <v>0.988</v>
      </c>
      <c r="I244" s="4">
        <v>0.29</v>
      </c>
      <c r="J244" s="4">
        <v>0.98</v>
      </c>
      <c r="K244" s="4"/>
      <c r="L244" s="4"/>
      <c r="M244" s="4"/>
      <c r="N244" s="4"/>
      <c r="O244" s="4"/>
      <c r="P244" s="4"/>
      <c r="Q244" s="4"/>
      <c r="R244" s="4"/>
    </row>
    <row r="245" spans="4:18" ht="15">
      <c r="D245" s="4">
        <v>400</v>
      </c>
      <c r="E245" s="4">
        <v>0.2</v>
      </c>
      <c r="F245" s="4">
        <v>1.007</v>
      </c>
      <c r="G245" s="4">
        <v>0.25</v>
      </c>
      <c r="H245" s="4">
        <v>1.005</v>
      </c>
      <c r="I245" s="4">
        <v>0.29</v>
      </c>
      <c r="J245" s="4">
        <v>1.002</v>
      </c>
      <c r="K245" s="4"/>
      <c r="L245" s="4"/>
      <c r="M245" s="4"/>
      <c r="N245" s="4"/>
      <c r="O245" s="4"/>
      <c r="P245" s="4"/>
      <c r="Q245" s="4"/>
      <c r="R245" s="4"/>
    </row>
    <row r="246" spans="4:18" ht="15">
      <c r="D246" s="4">
        <v>600</v>
      </c>
      <c r="E246" s="4">
        <v>0.2</v>
      </c>
      <c r="F246" s="4">
        <v>1.017</v>
      </c>
      <c r="G246" s="4">
        <v>0.25</v>
      </c>
      <c r="H246" s="4">
        <v>1.0187</v>
      </c>
      <c r="I246" s="4">
        <v>0.29</v>
      </c>
      <c r="J246" s="4">
        <v>1.021</v>
      </c>
      <c r="K246" s="4"/>
      <c r="L246" s="4"/>
      <c r="M246" s="4"/>
      <c r="N246" s="4"/>
      <c r="O246" s="4"/>
      <c r="P246" s="4"/>
      <c r="Q246" s="4"/>
      <c r="R246" s="4"/>
    </row>
    <row r="247" spans="4:18" ht="15">
      <c r="D247" s="4">
        <v>800</v>
      </c>
      <c r="E247" s="4">
        <v>0.2</v>
      </c>
      <c r="F247" s="4">
        <v>1.025</v>
      </c>
      <c r="G247" s="4">
        <v>0.25</v>
      </c>
      <c r="H247" s="4">
        <v>1.032</v>
      </c>
      <c r="I247" s="4">
        <v>0.29</v>
      </c>
      <c r="J247" s="4">
        <v>1.039</v>
      </c>
      <c r="K247" s="4"/>
      <c r="L247" s="4"/>
      <c r="M247" s="4"/>
      <c r="N247" s="4"/>
      <c r="O247" s="4"/>
      <c r="P247" s="4"/>
      <c r="Q247" s="4"/>
      <c r="R247" s="4"/>
    </row>
    <row r="248" spans="4:18" ht="15">
      <c r="D248" s="4">
        <v>1000</v>
      </c>
      <c r="E248" s="4">
        <v>0.2</v>
      </c>
      <c r="F248" s="4">
        <v>1.029</v>
      </c>
      <c r="G248" s="4">
        <v>0.25</v>
      </c>
      <c r="H248" s="4">
        <v>1.039</v>
      </c>
      <c r="I248" s="4">
        <v>0.29</v>
      </c>
      <c r="J248" s="4">
        <v>1.048</v>
      </c>
      <c r="K248" s="4"/>
      <c r="L248" s="4"/>
      <c r="M248" s="4"/>
      <c r="N248" s="4"/>
      <c r="O248" s="4"/>
      <c r="P248" s="4"/>
      <c r="Q248" s="4"/>
      <c r="R248" s="4"/>
    </row>
    <row r="249" spans="4:18" ht="15">
      <c r="D249" s="4">
        <v>1200</v>
      </c>
      <c r="E249" s="4">
        <v>0.2</v>
      </c>
      <c r="F249" s="4">
        <v>1.03</v>
      </c>
      <c r="G249" s="4">
        <v>0.25</v>
      </c>
      <c r="H249" s="4">
        <v>1.041</v>
      </c>
      <c r="I249" s="4">
        <v>0.29</v>
      </c>
      <c r="J249" s="4">
        <v>1.051</v>
      </c>
      <c r="K249" s="4"/>
      <c r="L249" s="4"/>
      <c r="M249" s="4"/>
      <c r="N249" s="4"/>
      <c r="O249" s="4"/>
      <c r="P249" s="4"/>
      <c r="Q249" s="4"/>
      <c r="R249" s="4"/>
    </row>
    <row r="250" spans="4:18" ht="15">
      <c r="D250" s="4">
        <v>1400</v>
      </c>
      <c r="E250" s="4">
        <v>0.2</v>
      </c>
      <c r="F250" s="4">
        <v>1.0305</v>
      </c>
      <c r="G250" s="4">
        <v>0.25</v>
      </c>
      <c r="H250" s="4">
        <v>1.0417</v>
      </c>
      <c r="I250" s="4">
        <v>0.29</v>
      </c>
      <c r="J250" s="4">
        <v>1.051</v>
      </c>
      <c r="K250" s="4"/>
      <c r="L250" s="4"/>
      <c r="M250" s="4"/>
      <c r="N250" s="4"/>
      <c r="O250" s="4"/>
      <c r="P250" s="4"/>
      <c r="Q250" s="4"/>
      <c r="R250" s="4"/>
    </row>
    <row r="251" spans="4:18" ht="15">
      <c r="D251" s="4">
        <v>1600</v>
      </c>
      <c r="E251" s="4">
        <v>0.2</v>
      </c>
      <c r="F251" s="4">
        <v>1.03</v>
      </c>
      <c r="G251" s="4">
        <v>0.25</v>
      </c>
      <c r="H251" s="4">
        <v>1.0415</v>
      </c>
      <c r="I251" s="4">
        <v>0.29</v>
      </c>
      <c r="J251" s="4">
        <v>1.05</v>
      </c>
      <c r="K251" s="4"/>
      <c r="L251" s="4"/>
      <c r="M251" s="4"/>
      <c r="N251" s="4"/>
      <c r="O251" s="4"/>
      <c r="P251" s="4"/>
      <c r="Q251" s="4"/>
      <c r="R251" s="4"/>
    </row>
    <row r="252" spans="4:18" ht="15"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</row>
    <row r="253" ht="15">
      <c r="C253" s="1" t="s">
        <v>599</v>
      </c>
    </row>
    <row r="254" spans="3:5" ht="15">
      <c r="C254" s="1"/>
      <c r="E254" s="1" t="s">
        <v>600</v>
      </c>
    </row>
    <row r="255" spans="4:12" ht="15">
      <c r="D255" s="3" t="s">
        <v>544</v>
      </c>
      <c r="E255" s="3" t="s">
        <v>102</v>
      </c>
      <c r="F255" s="3" t="s">
        <v>374</v>
      </c>
      <c r="G255" s="3" t="s">
        <v>102</v>
      </c>
      <c r="H255" s="3" t="s">
        <v>374</v>
      </c>
      <c r="I255" s="3" t="s">
        <v>102</v>
      </c>
      <c r="J255" s="3" t="s">
        <v>374</v>
      </c>
      <c r="K255" s="3" t="s">
        <v>102</v>
      </c>
      <c r="L255" s="3" t="s">
        <v>374</v>
      </c>
    </row>
    <row r="256" spans="4:12" ht="15">
      <c r="D256" s="4">
        <v>0</v>
      </c>
      <c r="E256" s="4">
        <v>0.03</v>
      </c>
      <c r="F256" s="4">
        <v>0.97</v>
      </c>
      <c r="G256" s="4">
        <v>0.05</v>
      </c>
      <c r="H256" s="4">
        <v>0.985</v>
      </c>
      <c r="I256" s="4">
        <v>0.07</v>
      </c>
      <c r="J256" s="4">
        <v>0.992</v>
      </c>
      <c r="K256" s="4">
        <v>0.11</v>
      </c>
      <c r="L256" s="4">
        <v>1</v>
      </c>
    </row>
    <row r="257" spans="4:12" ht="15">
      <c r="D257" s="4">
        <v>200</v>
      </c>
      <c r="E257" s="4">
        <v>0.03</v>
      </c>
      <c r="F257" s="4">
        <v>0.947</v>
      </c>
      <c r="G257" s="4">
        <v>0.05</v>
      </c>
      <c r="H257" s="4">
        <v>0.967</v>
      </c>
      <c r="I257" s="4">
        <v>0.07</v>
      </c>
      <c r="J257" s="4">
        <v>0.98</v>
      </c>
      <c r="K257" s="4">
        <v>0.11</v>
      </c>
      <c r="L257" s="4">
        <v>1</v>
      </c>
    </row>
    <row r="258" spans="4:12" ht="15">
      <c r="D258" s="4">
        <v>400</v>
      </c>
      <c r="E258" s="4">
        <v>0.03</v>
      </c>
      <c r="F258" s="4">
        <v>0.929</v>
      </c>
      <c r="G258" s="4">
        <v>0.05</v>
      </c>
      <c r="H258" s="4">
        <v>0.9524</v>
      </c>
      <c r="I258" s="4">
        <v>0.07</v>
      </c>
      <c r="J258" s="4">
        <v>0.9725</v>
      </c>
      <c r="K258" s="4">
        <v>0.11</v>
      </c>
      <c r="L258" s="4">
        <v>1</v>
      </c>
    </row>
    <row r="259" spans="4:12" ht="15">
      <c r="D259" s="4">
        <v>600</v>
      </c>
      <c r="E259" s="4">
        <v>0.03</v>
      </c>
      <c r="F259" s="4">
        <v>0.914</v>
      </c>
      <c r="G259" s="4">
        <v>0.05</v>
      </c>
      <c r="H259" s="4">
        <v>0.9435</v>
      </c>
      <c r="I259" s="4">
        <v>0.07</v>
      </c>
      <c r="J259" s="4">
        <v>0.966</v>
      </c>
      <c r="K259" s="4">
        <v>0.11</v>
      </c>
      <c r="L259" s="4">
        <v>1</v>
      </c>
    </row>
    <row r="260" spans="4:12" ht="15">
      <c r="D260" s="4">
        <v>800</v>
      </c>
      <c r="E260" s="4">
        <v>0.03</v>
      </c>
      <c r="F260" s="4">
        <v>0.904</v>
      </c>
      <c r="G260" s="4">
        <v>0.05</v>
      </c>
      <c r="H260" s="4">
        <v>0.938</v>
      </c>
      <c r="I260" s="4">
        <v>0.07</v>
      </c>
      <c r="J260" s="4">
        <v>0.9605</v>
      </c>
      <c r="K260" s="4">
        <v>0.11</v>
      </c>
      <c r="L260" s="4">
        <v>1</v>
      </c>
    </row>
    <row r="261" spans="4:12" ht="15">
      <c r="D261" s="4">
        <v>1000</v>
      </c>
      <c r="E261" s="4">
        <v>0.03</v>
      </c>
      <c r="F261" s="4">
        <v>0.897</v>
      </c>
      <c r="G261" s="4">
        <v>0.05</v>
      </c>
      <c r="H261" s="4">
        <v>0.9335</v>
      </c>
      <c r="I261" s="4">
        <v>0.07</v>
      </c>
      <c r="J261" s="4">
        <v>0.957</v>
      </c>
      <c r="K261" s="4">
        <v>0.11</v>
      </c>
      <c r="L261" s="4">
        <v>1</v>
      </c>
    </row>
    <row r="262" spans="4:12" ht="15">
      <c r="D262" s="4">
        <v>1200</v>
      </c>
      <c r="E262" s="4">
        <v>0.03</v>
      </c>
      <c r="F262" s="4">
        <v>0.892</v>
      </c>
      <c r="G262" s="4">
        <v>0.05</v>
      </c>
      <c r="H262" s="4">
        <v>0.931</v>
      </c>
      <c r="I262" s="4">
        <v>0.07</v>
      </c>
      <c r="J262" s="4">
        <v>0.9545</v>
      </c>
      <c r="K262" s="4">
        <v>0.11</v>
      </c>
      <c r="L262" s="4">
        <v>1</v>
      </c>
    </row>
    <row r="263" spans="4:12" ht="15">
      <c r="D263" s="4">
        <v>1400</v>
      </c>
      <c r="E263" s="4">
        <v>0.03</v>
      </c>
      <c r="F263" s="4">
        <v>0.89</v>
      </c>
      <c r="G263" s="4">
        <v>0.05</v>
      </c>
      <c r="H263" s="4">
        <v>0.93</v>
      </c>
      <c r="I263" s="4">
        <v>0.07</v>
      </c>
      <c r="J263" s="4">
        <v>0.953</v>
      </c>
      <c r="K263" s="4">
        <v>0.11</v>
      </c>
      <c r="L263" s="4">
        <v>1</v>
      </c>
    </row>
    <row r="264" spans="4:12" ht="15">
      <c r="D264" s="4">
        <v>1600</v>
      </c>
      <c r="E264" s="4">
        <v>0.03</v>
      </c>
      <c r="F264" s="4">
        <v>0.889</v>
      </c>
      <c r="G264" s="4">
        <v>0.05</v>
      </c>
      <c r="H264" s="4">
        <v>0.93</v>
      </c>
      <c r="I264" s="4">
        <v>0.07</v>
      </c>
      <c r="J264" s="4">
        <v>0.953</v>
      </c>
      <c r="K264" s="4">
        <v>0.11</v>
      </c>
      <c r="L264" s="4">
        <v>1</v>
      </c>
    </row>
    <row r="265" spans="4:20" ht="15">
      <c r="D265" s="3" t="s">
        <v>544</v>
      </c>
      <c r="E265" s="3" t="s">
        <v>102</v>
      </c>
      <c r="F265" s="3" t="s">
        <v>374</v>
      </c>
      <c r="G265" s="3" t="s">
        <v>102</v>
      </c>
      <c r="H265" s="3" t="s">
        <v>374</v>
      </c>
      <c r="I265" s="3" t="s">
        <v>102</v>
      </c>
      <c r="J265" s="3" t="s">
        <v>374</v>
      </c>
      <c r="K265" s="3" t="s">
        <v>102</v>
      </c>
      <c r="L265" s="3" t="s">
        <v>374</v>
      </c>
      <c r="M265" s="4"/>
      <c r="N265" s="4"/>
      <c r="O265" s="4"/>
      <c r="P265" s="4"/>
      <c r="Q265" s="4"/>
      <c r="R265" s="4"/>
      <c r="S265" s="4"/>
      <c r="T265" s="4"/>
    </row>
    <row r="266" spans="4:20" ht="15">
      <c r="D266" s="4">
        <v>0</v>
      </c>
      <c r="E266" s="4">
        <v>0.15</v>
      </c>
      <c r="F266" s="4">
        <v>1.003</v>
      </c>
      <c r="G266" s="4">
        <v>0.19</v>
      </c>
      <c r="H266" s="4">
        <v>1.011</v>
      </c>
      <c r="I266" s="4">
        <v>0.21</v>
      </c>
      <c r="J266" s="4">
        <v>1.013</v>
      </c>
      <c r="K266" s="4">
        <v>0.25</v>
      </c>
      <c r="L266" s="4">
        <v>1.017</v>
      </c>
      <c r="M266" s="4"/>
      <c r="N266" s="4"/>
      <c r="O266" s="4"/>
      <c r="P266" s="4"/>
      <c r="Q266" s="4"/>
      <c r="R266" s="4"/>
      <c r="S266" s="4"/>
      <c r="T266" s="4"/>
    </row>
    <row r="267" spans="4:20" ht="15">
      <c r="D267" s="4">
        <v>200</v>
      </c>
      <c r="E267" s="4">
        <v>0.15</v>
      </c>
      <c r="F267" s="4">
        <v>1.012</v>
      </c>
      <c r="G267" s="4">
        <v>0.19</v>
      </c>
      <c r="H267" s="4">
        <v>1.029</v>
      </c>
      <c r="I267" s="4">
        <v>0.21</v>
      </c>
      <c r="J267" s="4">
        <v>1.035</v>
      </c>
      <c r="K267" s="4">
        <v>0.25</v>
      </c>
      <c r="L267" s="4">
        <v>1.0487</v>
      </c>
      <c r="M267" s="4"/>
      <c r="N267" s="4"/>
      <c r="O267" s="4"/>
      <c r="P267" s="4"/>
      <c r="Q267" s="4"/>
      <c r="R267" s="4"/>
      <c r="S267" s="4"/>
      <c r="T267" s="4"/>
    </row>
    <row r="268" spans="4:20" ht="15">
      <c r="D268" s="4">
        <v>400</v>
      </c>
      <c r="E268" s="4">
        <v>0.15</v>
      </c>
      <c r="F268" s="4">
        <v>1.0195</v>
      </c>
      <c r="G268" s="4">
        <v>0.19</v>
      </c>
      <c r="H268" s="4">
        <v>1.04</v>
      </c>
      <c r="I268" s="4">
        <v>0.21</v>
      </c>
      <c r="J268" s="4">
        <v>1.05</v>
      </c>
      <c r="K268" s="4">
        <v>0.25</v>
      </c>
      <c r="L268" s="4">
        <v>1.068</v>
      </c>
      <c r="M268" s="4"/>
      <c r="N268" s="4"/>
      <c r="O268" s="4"/>
      <c r="P268" s="4"/>
      <c r="Q268" s="4"/>
      <c r="R268" s="4"/>
      <c r="S268" s="4"/>
      <c r="T268" s="4"/>
    </row>
    <row r="269" spans="4:20" ht="15">
      <c r="D269" s="4">
        <v>600</v>
      </c>
      <c r="E269" s="4">
        <v>0.15</v>
      </c>
      <c r="F269" s="4">
        <v>1.025</v>
      </c>
      <c r="G269" s="4">
        <v>0.19</v>
      </c>
      <c r="H269" s="4">
        <v>1.0497</v>
      </c>
      <c r="I269" s="4">
        <v>0.21</v>
      </c>
      <c r="J269" s="4">
        <v>1.0605</v>
      </c>
      <c r="K269" s="4">
        <v>0.25</v>
      </c>
      <c r="L269" s="4">
        <v>1.08</v>
      </c>
      <c r="M269" s="4"/>
      <c r="N269" s="4"/>
      <c r="O269" s="4"/>
      <c r="P269" s="4"/>
      <c r="Q269" s="4"/>
      <c r="R269" s="4"/>
      <c r="S269" s="4"/>
      <c r="T269" s="4"/>
    </row>
    <row r="270" spans="4:20" ht="15">
      <c r="D270" s="4">
        <v>800</v>
      </c>
      <c r="E270" s="4">
        <v>0.15</v>
      </c>
      <c r="F270" s="4">
        <v>1.0285</v>
      </c>
      <c r="G270" s="4">
        <v>0.19</v>
      </c>
      <c r="H270" s="4">
        <v>1.0565</v>
      </c>
      <c r="I270" s="4">
        <v>0.21</v>
      </c>
      <c r="J270" s="4">
        <v>1.0695</v>
      </c>
      <c r="K270" s="4">
        <v>0.25</v>
      </c>
      <c r="L270" s="4">
        <v>1.09</v>
      </c>
      <c r="M270" s="4"/>
      <c r="N270" s="4"/>
      <c r="O270" s="4"/>
      <c r="P270" s="4"/>
      <c r="Q270" s="4"/>
      <c r="R270" s="4"/>
      <c r="S270" s="4"/>
      <c r="T270" s="4"/>
    </row>
    <row r="271" spans="4:20" ht="15">
      <c r="D271" s="4">
        <v>1000</v>
      </c>
      <c r="E271" s="4">
        <v>0.15</v>
      </c>
      <c r="F271" s="4">
        <v>1.0295</v>
      </c>
      <c r="G271" s="4">
        <v>0.19</v>
      </c>
      <c r="H271" s="4">
        <v>1.0592</v>
      </c>
      <c r="I271" s="4">
        <v>0.21</v>
      </c>
      <c r="J271" s="4">
        <v>1.0731</v>
      </c>
      <c r="K271" s="4">
        <v>0.25</v>
      </c>
      <c r="L271" s="4">
        <v>1.095</v>
      </c>
      <c r="M271" s="4"/>
      <c r="N271" s="4"/>
      <c r="O271" s="4"/>
      <c r="P271" s="4"/>
      <c r="Q271" s="4"/>
      <c r="R271" s="4"/>
      <c r="S271" s="4"/>
      <c r="T271" s="4"/>
    </row>
    <row r="272" spans="4:20" ht="15">
      <c r="D272" s="4">
        <v>1200</v>
      </c>
      <c r="E272" s="4">
        <v>0.15</v>
      </c>
      <c r="F272" s="4">
        <v>1.03</v>
      </c>
      <c r="G272" s="4">
        <v>0.19</v>
      </c>
      <c r="H272" s="4">
        <v>1.06</v>
      </c>
      <c r="I272" s="4">
        <v>0.21</v>
      </c>
      <c r="J272" s="4">
        <v>1.076</v>
      </c>
      <c r="K272" s="4">
        <v>0.25</v>
      </c>
      <c r="L272" s="4">
        <v>1.0987</v>
      </c>
      <c r="M272" s="4"/>
      <c r="N272" s="4"/>
      <c r="O272" s="4"/>
      <c r="P272" s="4"/>
      <c r="Q272" s="4"/>
      <c r="R272" s="4"/>
      <c r="S272" s="4"/>
      <c r="T272" s="4"/>
    </row>
    <row r="273" spans="4:20" ht="15">
      <c r="D273" s="4">
        <v>1400</v>
      </c>
      <c r="E273" s="4">
        <v>0.15</v>
      </c>
      <c r="F273" s="4">
        <v>1.03</v>
      </c>
      <c r="G273" s="4">
        <v>0.19</v>
      </c>
      <c r="H273" s="4">
        <v>1.06</v>
      </c>
      <c r="I273" s="4">
        <v>0.21</v>
      </c>
      <c r="J273" s="4">
        <v>1.076</v>
      </c>
      <c r="K273" s="4">
        <v>0.25</v>
      </c>
      <c r="L273" s="4">
        <v>1.0993</v>
      </c>
      <c r="M273" s="4"/>
      <c r="N273" s="4"/>
      <c r="O273" s="4"/>
      <c r="P273" s="4"/>
      <c r="Q273" s="4"/>
      <c r="R273" s="4"/>
      <c r="S273" s="4"/>
      <c r="T273" s="4"/>
    </row>
    <row r="274" spans="4:20" ht="15">
      <c r="D274" s="4">
        <v>1600</v>
      </c>
      <c r="E274" s="4">
        <v>0.15</v>
      </c>
      <c r="F274" s="4">
        <v>1.03</v>
      </c>
      <c r="G274" s="4">
        <v>0.19</v>
      </c>
      <c r="H274" s="4">
        <v>1.06</v>
      </c>
      <c r="I274" s="4">
        <v>0.21</v>
      </c>
      <c r="J274" s="4">
        <v>1.074</v>
      </c>
      <c r="K274" s="4">
        <v>0.25</v>
      </c>
      <c r="L274" s="4">
        <v>1.1</v>
      </c>
      <c r="M274" s="4"/>
      <c r="N274" s="4"/>
      <c r="O274" s="4"/>
      <c r="P274" s="4"/>
      <c r="Q274" s="4"/>
      <c r="R274" s="4"/>
      <c r="S274" s="4"/>
      <c r="T274" s="4"/>
    </row>
    <row r="275" spans="4:20" ht="15"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</row>
    <row r="276" spans="3:20" ht="15">
      <c r="C276" s="1" t="s">
        <v>601</v>
      </c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</row>
    <row r="277" ht="15">
      <c r="D277" s="1" t="s">
        <v>602</v>
      </c>
    </row>
    <row r="278" spans="4:11" ht="15">
      <c r="D278" s="5" t="s">
        <v>102</v>
      </c>
      <c r="E278" s="4">
        <v>0</v>
      </c>
      <c r="F278" s="4">
        <v>0.072</v>
      </c>
      <c r="G278" s="4">
        <v>0.11</v>
      </c>
      <c r="H278" s="4">
        <v>0.163</v>
      </c>
      <c r="I278" s="4">
        <v>0.21</v>
      </c>
      <c r="J278" s="4">
        <v>0.25</v>
      </c>
      <c r="K278" s="4">
        <v>0.27</v>
      </c>
    </row>
    <row r="279" spans="4:11" ht="15">
      <c r="D279" s="5" t="s">
        <v>103</v>
      </c>
      <c r="E279" s="4">
        <v>0.944</v>
      </c>
      <c r="F279" s="4">
        <v>0.98</v>
      </c>
      <c r="G279" s="4">
        <v>1</v>
      </c>
      <c r="H279" s="4">
        <v>1.03</v>
      </c>
      <c r="I279" s="4">
        <v>1.06</v>
      </c>
      <c r="J279" s="4">
        <v>1.09</v>
      </c>
      <c r="K279" s="4">
        <v>1.107</v>
      </c>
    </row>
    <row r="280" ht="15">
      <c r="C280" s="1" t="s">
        <v>603</v>
      </c>
    </row>
    <row r="281" spans="2:3" ht="15">
      <c r="B281" s="2"/>
      <c r="C281" s="1" t="s">
        <v>604</v>
      </c>
    </row>
    <row r="282" spans="2:3" ht="15">
      <c r="B282" s="2"/>
      <c r="C282" s="1" t="s">
        <v>605</v>
      </c>
    </row>
    <row r="283" ht="15">
      <c r="D283" s="1" t="s">
        <v>104</v>
      </c>
    </row>
    <row r="285" ht="15">
      <c r="D285" s="1" t="s">
        <v>105</v>
      </c>
    </row>
    <row r="286" spans="3:5" ht="15">
      <c r="C286" s="1"/>
      <c r="D286" s="1"/>
      <c r="E286" s="1" t="s">
        <v>606</v>
      </c>
    </row>
    <row r="287" spans="4:12" ht="15">
      <c r="D287" s="5" t="s">
        <v>544</v>
      </c>
      <c r="E287" s="4">
        <v>280</v>
      </c>
      <c r="F287" s="4">
        <v>290</v>
      </c>
      <c r="G287" s="4">
        <v>300</v>
      </c>
      <c r="H287" s="4">
        <v>310</v>
      </c>
      <c r="I287" s="4">
        <v>320</v>
      </c>
      <c r="J287" s="4">
        <v>330</v>
      </c>
      <c r="K287" s="4">
        <v>340</v>
      </c>
      <c r="L287" s="4">
        <v>350</v>
      </c>
    </row>
    <row r="288" spans="4:12" ht="15">
      <c r="D288" s="5" t="s">
        <v>106</v>
      </c>
      <c r="E288" s="4">
        <v>2.03</v>
      </c>
      <c r="F288" s="4">
        <v>2.1</v>
      </c>
      <c r="G288" s="4">
        <v>2.17</v>
      </c>
      <c r="H288" s="4">
        <v>2.24</v>
      </c>
      <c r="I288" s="4">
        <v>2.33</v>
      </c>
      <c r="J288" s="4">
        <v>2.44</v>
      </c>
      <c r="K288" s="4">
        <v>2.57</v>
      </c>
      <c r="L288" s="4">
        <v>2.71</v>
      </c>
    </row>
    <row r="289" spans="4:12" ht="15">
      <c r="D289" s="1" t="s">
        <v>107</v>
      </c>
      <c r="E289" s="4">
        <v>4.72</v>
      </c>
      <c r="F289" s="4">
        <v>5.01</v>
      </c>
      <c r="G289" s="4">
        <v>5.39</v>
      </c>
      <c r="H289" s="4">
        <v>5.88</v>
      </c>
      <c r="I289" s="4">
        <v>6.46</v>
      </c>
      <c r="J289" s="4">
        <v>7.1</v>
      </c>
      <c r="K289" s="4">
        <v>8</v>
      </c>
      <c r="L289" s="4">
        <v>9.2</v>
      </c>
    </row>
    <row r="290" spans="4:12" ht="15">
      <c r="D290" s="5" t="s">
        <v>108</v>
      </c>
      <c r="E290" s="4">
        <v>1.85</v>
      </c>
      <c r="F290" s="4">
        <v>1.99</v>
      </c>
      <c r="G290" s="4">
        <v>2.13</v>
      </c>
      <c r="H290" s="4">
        <v>2.28</v>
      </c>
      <c r="I290" s="4">
        <v>2.51</v>
      </c>
      <c r="J290" s="4">
        <v>2.86</v>
      </c>
      <c r="K290" s="4">
        <v>3.34</v>
      </c>
      <c r="L290" s="4">
        <v>4.03</v>
      </c>
    </row>
    <row r="291" spans="3:12" ht="15">
      <c r="C291" s="1" t="s">
        <v>607</v>
      </c>
      <c r="D291" s="3" t="s">
        <v>109</v>
      </c>
      <c r="E291" s="4">
        <v>65.46</v>
      </c>
      <c r="F291" s="4">
        <v>75.92</v>
      </c>
      <c r="G291" s="4">
        <v>87.61</v>
      </c>
      <c r="H291" s="4">
        <v>100.64</v>
      </c>
      <c r="I291" s="4">
        <v>115.12</v>
      </c>
      <c r="J291" s="4">
        <v>131.18</v>
      </c>
      <c r="K291" s="4">
        <v>148.96</v>
      </c>
      <c r="L291" s="4">
        <v>168.63</v>
      </c>
    </row>
    <row r="292" spans="4:12" ht="15">
      <c r="D292" s="3" t="s">
        <v>110</v>
      </c>
      <c r="E292" s="4">
        <v>0.03013</v>
      </c>
      <c r="F292" s="4">
        <v>0.02554</v>
      </c>
      <c r="G292" s="4">
        <v>0.02164</v>
      </c>
      <c r="H292" s="4">
        <v>0.01832</v>
      </c>
      <c r="I292" s="4">
        <v>0.01545</v>
      </c>
      <c r="J292" s="4">
        <v>0.01297</v>
      </c>
      <c r="K292" s="4">
        <v>0.01078</v>
      </c>
      <c r="L292" s="4">
        <v>0.008803</v>
      </c>
    </row>
    <row r="293" spans="4:12" ht="15">
      <c r="D293" s="3" t="s">
        <v>111</v>
      </c>
      <c r="E293" s="4">
        <v>663.9</v>
      </c>
      <c r="F293" s="4">
        <v>660.7</v>
      </c>
      <c r="G293" s="4">
        <v>656.6</v>
      </c>
      <c r="H293" s="4">
        <v>651.4</v>
      </c>
      <c r="I293" s="4">
        <v>644.9</v>
      </c>
      <c r="J293" s="4">
        <v>636.7</v>
      </c>
      <c r="K293" s="4">
        <v>626.2</v>
      </c>
      <c r="L293" s="4">
        <v>612.5</v>
      </c>
    </row>
    <row r="294" spans="4:12" ht="15">
      <c r="D294" s="3" t="s">
        <v>112</v>
      </c>
      <c r="E294" s="4">
        <v>368.5</v>
      </c>
      <c r="F294" s="4">
        <v>352.6</v>
      </c>
      <c r="G294" s="4">
        <v>335.4</v>
      </c>
      <c r="H294" s="4">
        <v>316.5</v>
      </c>
      <c r="I294" s="4">
        <v>295.7</v>
      </c>
      <c r="J294" s="4">
        <v>272.2</v>
      </c>
      <c r="K294" s="4">
        <v>245.3</v>
      </c>
      <c r="L294" s="4">
        <v>213.3</v>
      </c>
    </row>
    <row r="295" spans="4:12" ht="15">
      <c r="D295" s="3" t="s">
        <v>113</v>
      </c>
      <c r="E295" s="4">
        <f aca="true" t="shared" si="3" ref="E295:L295">E293-E294</f>
        <v>295.4</v>
      </c>
      <c r="F295" s="4">
        <f t="shared" si="3"/>
        <v>308.1</v>
      </c>
      <c r="G295" s="4">
        <f t="shared" si="3"/>
        <v>321.20000000000005</v>
      </c>
      <c r="H295" s="4">
        <f t="shared" si="3"/>
        <v>334.9</v>
      </c>
      <c r="I295" s="4">
        <f t="shared" si="3"/>
        <v>349.2</v>
      </c>
      <c r="J295" s="4">
        <f t="shared" si="3"/>
        <v>364.50000000000006</v>
      </c>
      <c r="K295" s="4">
        <f t="shared" si="3"/>
        <v>380.90000000000003</v>
      </c>
      <c r="L295" s="4">
        <f t="shared" si="3"/>
        <v>399.2</v>
      </c>
    </row>
    <row r="296" spans="3:12" ht="15">
      <c r="C296" s="1"/>
      <c r="D296" s="1" t="s">
        <v>433</v>
      </c>
      <c r="E296" s="4"/>
      <c r="F296" s="4"/>
      <c r="G296" s="4"/>
      <c r="H296" s="4"/>
      <c r="I296" s="4"/>
      <c r="J296" s="4"/>
      <c r="K296" s="4"/>
      <c r="L296" s="4"/>
    </row>
    <row r="297" spans="3:12" ht="15">
      <c r="C297" s="1"/>
      <c r="D297" s="1" t="s">
        <v>434</v>
      </c>
      <c r="E297" s="4"/>
      <c r="F297" s="4"/>
      <c r="G297" s="4"/>
      <c r="H297" s="4"/>
      <c r="I297" s="4"/>
      <c r="J297" s="4"/>
      <c r="K297" s="4"/>
      <c r="L297" s="4"/>
    </row>
    <row r="298" spans="3:12" ht="15">
      <c r="C298" s="1"/>
      <c r="D298" s="1" t="s">
        <v>608</v>
      </c>
      <c r="E298" s="4"/>
      <c r="F298" s="4"/>
      <c r="G298" s="4"/>
      <c r="H298" s="4"/>
      <c r="I298" s="4"/>
      <c r="J298" s="4"/>
      <c r="K298" s="4"/>
      <c r="L298" s="4"/>
    </row>
    <row r="299" spans="3:12" ht="15">
      <c r="C299" s="1"/>
      <c r="D299" s="1" t="s">
        <v>609</v>
      </c>
      <c r="E299" s="4"/>
      <c r="F299" s="4"/>
      <c r="G299" s="4"/>
      <c r="H299" s="4"/>
      <c r="I299" s="4"/>
      <c r="J299" s="4"/>
      <c r="K299" s="4"/>
      <c r="L299" s="4"/>
    </row>
    <row r="300" spans="3:12" ht="15">
      <c r="C300" s="1"/>
      <c r="D300" s="1" t="s">
        <v>610</v>
      </c>
      <c r="E300" s="4"/>
      <c r="F300" s="4"/>
      <c r="G300" s="4"/>
      <c r="H300" s="4"/>
      <c r="I300" s="4"/>
      <c r="J300" s="4"/>
      <c r="K300" s="4"/>
      <c r="L300" s="4"/>
    </row>
    <row r="301" spans="3:12" ht="15">
      <c r="C301" s="1"/>
      <c r="D301" s="1" t="s">
        <v>611</v>
      </c>
      <c r="E301" s="4"/>
      <c r="F301" s="4"/>
      <c r="G301" s="4"/>
      <c r="H301" s="4"/>
      <c r="I301" s="4"/>
      <c r="J301" s="4"/>
      <c r="K301" s="4"/>
      <c r="L301" s="4"/>
    </row>
    <row r="302" spans="3:12" ht="15">
      <c r="C302" s="1"/>
      <c r="D302" s="1" t="s">
        <v>435</v>
      </c>
      <c r="E302" s="4"/>
      <c r="F302" s="4"/>
      <c r="G302" s="4"/>
      <c r="H302" s="4"/>
      <c r="I302" s="4"/>
      <c r="J302" s="4"/>
      <c r="K302" s="4"/>
      <c r="L302" s="4"/>
    </row>
    <row r="303" spans="3:12" ht="15">
      <c r="C303" s="1" t="s">
        <v>612</v>
      </c>
      <c r="D303" s="3"/>
      <c r="E303" s="4"/>
      <c r="F303" s="4"/>
      <c r="G303" s="4"/>
      <c r="H303" s="4"/>
      <c r="I303" s="4"/>
      <c r="J303" s="4"/>
      <c r="K303" s="4"/>
      <c r="L303" s="4"/>
    </row>
    <row r="304" spans="3:12" ht="15">
      <c r="C304" s="1" t="s">
        <v>613</v>
      </c>
      <c r="D304" s="3"/>
      <c r="E304" s="4"/>
      <c r="F304" s="4"/>
      <c r="G304" s="4"/>
      <c r="H304" s="4"/>
      <c r="I304" s="4"/>
      <c r="J304" s="4"/>
      <c r="K304" s="4"/>
      <c r="L304" s="4"/>
    </row>
    <row r="305" spans="3:12" ht="15">
      <c r="C305" s="1" t="s">
        <v>614</v>
      </c>
      <c r="D305" s="3"/>
      <c r="E305" s="4"/>
      <c r="F305" s="4"/>
      <c r="G305" s="4"/>
      <c r="H305" s="4"/>
      <c r="I305" s="4"/>
      <c r="J305" s="4"/>
      <c r="K305" s="4"/>
      <c r="L305" s="4"/>
    </row>
    <row r="306" ht="15">
      <c r="C306" s="1" t="s">
        <v>615</v>
      </c>
    </row>
    <row r="307" ht="15">
      <c r="C307" s="1" t="s">
        <v>616</v>
      </c>
    </row>
    <row r="308" ht="15">
      <c r="C308" s="1" t="s">
        <v>617</v>
      </c>
    </row>
    <row r="309" ht="15">
      <c r="C309" s="1" t="s">
        <v>618</v>
      </c>
    </row>
    <row r="310" ht="15">
      <c r="C310" s="1" t="s">
        <v>619</v>
      </c>
    </row>
    <row r="311" ht="15">
      <c r="C311" s="1" t="s">
        <v>620</v>
      </c>
    </row>
    <row r="313" ht="15">
      <c r="D313" s="1" t="s">
        <v>114</v>
      </c>
    </row>
    <row r="314" ht="15">
      <c r="D314" s="1" t="s">
        <v>515</v>
      </c>
    </row>
    <row r="315" spans="4:12" ht="15.75">
      <c r="D315" s="3" t="s">
        <v>544</v>
      </c>
      <c r="E315" s="3" t="s">
        <v>109</v>
      </c>
      <c r="F315" s="7" t="s">
        <v>106</v>
      </c>
      <c r="G315" s="7" t="s">
        <v>107</v>
      </c>
      <c r="H315" s="7" t="s">
        <v>108</v>
      </c>
      <c r="I315" s="3" t="s">
        <v>390</v>
      </c>
      <c r="J315" s="3" t="s">
        <v>109</v>
      </c>
      <c r="K315" s="7" t="s">
        <v>106</v>
      </c>
      <c r="L315" s="7" t="s">
        <v>107</v>
      </c>
    </row>
    <row r="316" spans="4:12" ht="15">
      <c r="D316" s="4">
        <v>100</v>
      </c>
      <c r="E316" s="4">
        <v>80</v>
      </c>
      <c r="F316" s="4">
        <v>29</v>
      </c>
      <c r="G316" s="4">
        <v>59.1</v>
      </c>
      <c r="H316" s="4">
        <v>1.73</v>
      </c>
      <c r="I316" s="4">
        <v>101.4</v>
      </c>
      <c r="J316" s="4">
        <v>100</v>
      </c>
      <c r="K316" s="4">
        <v>29</v>
      </c>
      <c r="L316" s="4">
        <v>59.3</v>
      </c>
    </row>
    <row r="317" spans="4:12" ht="15">
      <c r="D317" s="4">
        <v>150</v>
      </c>
      <c r="E317" s="4">
        <v>80</v>
      </c>
      <c r="F317" s="4">
        <v>19.2</v>
      </c>
      <c r="G317" s="4">
        <v>59.4</v>
      </c>
      <c r="H317" s="4">
        <v>1.17</v>
      </c>
      <c r="I317" s="4">
        <v>152</v>
      </c>
      <c r="J317" s="4">
        <v>100</v>
      </c>
      <c r="K317" s="4">
        <v>19.2</v>
      </c>
      <c r="L317" s="4">
        <v>59.6</v>
      </c>
    </row>
    <row r="318" spans="4:12" ht="15">
      <c r="D318" s="4">
        <v>200</v>
      </c>
      <c r="E318" s="4">
        <v>80</v>
      </c>
      <c r="F318" s="4">
        <v>14.1</v>
      </c>
      <c r="G318" s="4">
        <v>57.6</v>
      </c>
      <c r="H318" s="4">
        <v>0.92</v>
      </c>
      <c r="I318" s="4">
        <v>204.1</v>
      </c>
      <c r="J318" s="4">
        <v>100</v>
      </c>
      <c r="K318" s="4">
        <v>14.1</v>
      </c>
      <c r="L318" s="4">
        <v>57.8</v>
      </c>
    </row>
    <row r="319" spans="4:12" ht="15">
      <c r="D319" s="4">
        <v>250</v>
      </c>
      <c r="E319" s="4">
        <v>80</v>
      </c>
      <c r="F319" s="4">
        <v>11.3</v>
      </c>
      <c r="G319" s="4">
        <v>53.3</v>
      </c>
      <c r="H319" s="4">
        <v>0.86</v>
      </c>
      <c r="I319" s="4">
        <v>259.3</v>
      </c>
      <c r="J319" s="4">
        <v>100</v>
      </c>
      <c r="K319" s="4">
        <v>11.4</v>
      </c>
      <c r="L319" s="4">
        <v>53.7</v>
      </c>
    </row>
    <row r="320" spans="4:12" ht="15">
      <c r="D320" s="4">
        <v>300</v>
      </c>
      <c r="E320" s="4">
        <v>80</v>
      </c>
      <c r="J320" s="4">
        <v>100</v>
      </c>
      <c r="K320" s="4">
        <v>9.3</v>
      </c>
      <c r="L320" s="4">
        <v>46.6</v>
      </c>
    </row>
    <row r="321" spans="4:10" ht="15">
      <c r="D321" s="4">
        <v>340</v>
      </c>
      <c r="E321" s="4">
        <v>80</v>
      </c>
      <c r="J321" s="4">
        <v>100</v>
      </c>
    </row>
    <row r="322" spans="4:19" ht="15.75">
      <c r="D322" s="3" t="s">
        <v>544</v>
      </c>
      <c r="E322" s="7" t="s">
        <v>108</v>
      </c>
      <c r="F322" s="3" t="s">
        <v>390</v>
      </c>
      <c r="G322" s="3" t="s">
        <v>109</v>
      </c>
      <c r="H322" s="7" t="s">
        <v>106</v>
      </c>
      <c r="I322" s="7" t="s">
        <v>107</v>
      </c>
      <c r="J322" s="7" t="s">
        <v>108</v>
      </c>
      <c r="K322" s="3" t="s">
        <v>390</v>
      </c>
      <c r="O322" s="4"/>
      <c r="P322" s="4"/>
      <c r="Q322" s="4"/>
      <c r="R322" s="4"/>
      <c r="S322" s="4"/>
    </row>
    <row r="323" spans="4:19" ht="15">
      <c r="D323" s="4">
        <v>100</v>
      </c>
      <c r="E323" s="4">
        <v>1.72</v>
      </c>
      <c r="F323" s="4">
        <v>101.8</v>
      </c>
      <c r="G323" s="4">
        <v>150</v>
      </c>
      <c r="H323" s="4">
        <v>29.1</v>
      </c>
      <c r="I323" s="4">
        <v>59.5</v>
      </c>
      <c r="J323" s="4">
        <v>1.72</v>
      </c>
      <c r="K323" s="4">
        <v>102.7</v>
      </c>
      <c r="O323" s="4"/>
      <c r="P323" s="4"/>
      <c r="Q323" s="4"/>
      <c r="R323" s="4"/>
      <c r="S323" s="4"/>
    </row>
    <row r="324" spans="4:19" ht="15">
      <c r="D324" s="4">
        <v>150</v>
      </c>
      <c r="E324" s="4">
        <v>1.16</v>
      </c>
      <c r="F324" s="4">
        <v>152.3</v>
      </c>
      <c r="G324" s="4">
        <v>150</v>
      </c>
      <c r="H324" s="4">
        <v>19.3</v>
      </c>
      <c r="I324" s="4">
        <v>59.8</v>
      </c>
      <c r="J324" s="4">
        <v>1.16</v>
      </c>
      <c r="K324" s="4">
        <v>153.1</v>
      </c>
      <c r="O324" s="4"/>
      <c r="P324" s="4"/>
      <c r="Q324" s="4"/>
      <c r="R324" s="4"/>
      <c r="S324" s="4"/>
    </row>
    <row r="325" spans="4:19" ht="15">
      <c r="D325" s="4">
        <v>200</v>
      </c>
      <c r="E325" s="4">
        <v>0.92</v>
      </c>
      <c r="F325" s="4">
        <v>204.3</v>
      </c>
      <c r="G325" s="4">
        <v>150</v>
      </c>
      <c r="H325" s="4">
        <v>14.2</v>
      </c>
      <c r="I325" s="4">
        <v>58.1</v>
      </c>
      <c r="J325" s="4">
        <v>0.91</v>
      </c>
      <c r="K325" s="4">
        <v>204.8</v>
      </c>
      <c r="O325" s="4"/>
      <c r="P325" s="4"/>
      <c r="Q325" s="4"/>
      <c r="R325" s="4"/>
      <c r="S325" s="4"/>
    </row>
    <row r="326" spans="4:19" ht="15">
      <c r="D326" s="4">
        <v>250</v>
      </c>
      <c r="E326" s="4">
        <v>0.86</v>
      </c>
      <c r="F326" s="4">
        <v>259.3</v>
      </c>
      <c r="G326" s="4">
        <v>150</v>
      </c>
      <c r="H326" s="4">
        <v>11.5</v>
      </c>
      <c r="I326" s="4">
        <v>54.2</v>
      </c>
      <c r="J326" s="4">
        <v>0.85</v>
      </c>
      <c r="K326" s="4">
        <v>259.3</v>
      </c>
      <c r="O326" s="4"/>
      <c r="P326" s="4"/>
      <c r="Q326" s="4"/>
      <c r="R326" s="4"/>
      <c r="S326" s="4"/>
    </row>
    <row r="327" spans="4:19" ht="15">
      <c r="D327" s="4">
        <v>300</v>
      </c>
      <c r="E327" s="4">
        <v>0.95</v>
      </c>
      <c r="F327" s="4">
        <v>320.7</v>
      </c>
      <c r="G327" s="4">
        <v>150</v>
      </c>
      <c r="H327" s="4">
        <v>9.42</v>
      </c>
      <c r="I327" s="4">
        <v>47.3</v>
      </c>
      <c r="J327" s="4">
        <v>0.92</v>
      </c>
      <c r="K327" s="4">
        <v>319.3</v>
      </c>
      <c r="O327" s="4"/>
      <c r="P327" s="4"/>
      <c r="Q327" s="4"/>
      <c r="R327" s="4"/>
      <c r="S327" s="4"/>
    </row>
    <row r="328" spans="4:19" ht="15">
      <c r="D328" s="4">
        <v>340</v>
      </c>
      <c r="G328" s="4">
        <v>150</v>
      </c>
      <c r="H328" s="4">
        <v>7.94</v>
      </c>
      <c r="I328" s="4">
        <v>39.3</v>
      </c>
      <c r="J328" s="4">
        <v>1.38</v>
      </c>
      <c r="K328" s="4">
        <v>380.8</v>
      </c>
      <c r="O328" s="4"/>
      <c r="P328" s="4"/>
      <c r="Q328" s="4"/>
      <c r="R328" s="4"/>
      <c r="S328" s="4"/>
    </row>
    <row r="329" spans="4:19" ht="15">
      <c r="D329" s="4" t="s">
        <v>435</v>
      </c>
      <c r="E329" s="4"/>
      <c r="J329" s="4"/>
      <c r="O329" s="4"/>
      <c r="P329" s="4"/>
      <c r="Q329" s="4"/>
      <c r="R329" s="4"/>
      <c r="S329" s="4"/>
    </row>
    <row r="330" spans="3:19" ht="15.75">
      <c r="C330" s="10" t="s">
        <v>621</v>
      </c>
      <c r="D330" s="4"/>
      <c r="E330" s="4"/>
      <c r="J330" s="4"/>
      <c r="O330" s="4"/>
      <c r="P330" s="4"/>
      <c r="Q330" s="4"/>
      <c r="R330" s="4"/>
      <c r="S330" s="4"/>
    </row>
    <row r="331" spans="3:19" ht="15.75">
      <c r="C331" s="10" t="s">
        <v>622</v>
      </c>
      <c r="D331" s="4"/>
      <c r="E331" s="4"/>
      <c r="J331" s="4"/>
      <c r="O331" s="4"/>
      <c r="P331" s="4"/>
      <c r="Q331" s="4"/>
      <c r="R331" s="4"/>
      <c r="S331" s="4"/>
    </row>
    <row r="332" spans="3:19" ht="15.75">
      <c r="C332" s="10" t="s">
        <v>623</v>
      </c>
      <c r="D332" s="4"/>
      <c r="E332" s="4"/>
      <c r="J332" s="4"/>
      <c r="O332" s="4"/>
      <c r="P332" s="4"/>
      <c r="Q332" s="4"/>
      <c r="R332" s="4"/>
      <c r="S332" s="4"/>
    </row>
    <row r="333" spans="3:19" ht="15">
      <c r="C333" s="1" t="s">
        <v>624</v>
      </c>
      <c r="D333" s="4"/>
      <c r="E333" s="4"/>
      <c r="J333" s="4"/>
      <c r="O333" s="4"/>
      <c r="P333" s="4"/>
      <c r="Q333" s="4"/>
      <c r="R333" s="4"/>
      <c r="S333" s="4"/>
    </row>
    <row r="334" spans="4:19" ht="15">
      <c r="D334" s="1" t="s">
        <v>516</v>
      </c>
      <c r="E334" s="4"/>
      <c r="J334" s="4"/>
      <c r="O334" s="4"/>
      <c r="P334" s="4"/>
      <c r="Q334" s="4"/>
      <c r="R334" s="4"/>
      <c r="S334" s="4"/>
    </row>
    <row r="335" ht="15">
      <c r="C335" s="1" t="s">
        <v>625</v>
      </c>
    </row>
    <row r="336" ht="15">
      <c r="D336" s="9" t="s">
        <v>517</v>
      </c>
    </row>
    <row r="337" ht="15">
      <c r="C337" s="1" t="s">
        <v>626</v>
      </c>
    </row>
    <row r="338" ht="15">
      <c r="D338" s="2" t="s">
        <v>518</v>
      </c>
    </row>
    <row r="339" ht="15">
      <c r="C339" s="1" t="s">
        <v>21</v>
      </c>
    </row>
    <row r="340" ht="15">
      <c r="D340" s="1" t="s">
        <v>519</v>
      </c>
    </row>
    <row r="342" ht="15">
      <c r="D342" s="1" t="s">
        <v>115</v>
      </c>
    </row>
    <row r="343" ht="15">
      <c r="E343" s="1" t="s">
        <v>606</v>
      </c>
    </row>
    <row r="344" spans="4:10" ht="15.75">
      <c r="D344" s="3" t="s">
        <v>544</v>
      </c>
      <c r="E344" s="3" t="s">
        <v>109</v>
      </c>
      <c r="F344" s="7" t="s">
        <v>106</v>
      </c>
      <c r="G344" s="7" t="s">
        <v>107</v>
      </c>
      <c r="H344" s="7" t="s">
        <v>108</v>
      </c>
      <c r="I344" s="3" t="s">
        <v>109</v>
      </c>
      <c r="J344" s="7" t="s">
        <v>106</v>
      </c>
    </row>
    <row r="345" spans="4:10" ht="15">
      <c r="D345" s="4">
        <v>480</v>
      </c>
      <c r="E345" s="4">
        <v>80</v>
      </c>
      <c r="F345" s="4">
        <v>2.88</v>
      </c>
      <c r="G345" s="4">
        <v>6.4</v>
      </c>
      <c r="H345" s="4">
        <v>0.96</v>
      </c>
      <c r="I345" s="4">
        <v>100</v>
      </c>
      <c r="J345" s="4">
        <v>2.97</v>
      </c>
    </row>
    <row r="346" spans="4:10" ht="15">
      <c r="D346" s="4">
        <v>500</v>
      </c>
      <c r="E346" s="4">
        <v>80</v>
      </c>
      <c r="F346" s="4">
        <v>2.97</v>
      </c>
      <c r="G346" s="4">
        <v>6.57</v>
      </c>
      <c r="H346" s="4">
        <v>0.95</v>
      </c>
      <c r="I346" s="4">
        <v>100</v>
      </c>
      <c r="J346" s="4">
        <v>3.05</v>
      </c>
    </row>
    <row r="347" spans="4:10" ht="15">
      <c r="D347" s="4">
        <v>520</v>
      </c>
      <c r="E347" s="4">
        <v>80</v>
      </c>
      <c r="F347" s="4">
        <v>3.06</v>
      </c>
      <c r="G347" s="4">
        <v>6.77</v>
      </c>
      <c r="H347" s="4">
        <v>0.94</v>
      </c>
      <c r="I347" s="4">
        <v>100</v>
      </c>
      <c r="J347" s="4">
        <v>3.13</v>
      </c>
    </row>
    <row r="348" spans="4:10" ht="15">
      <c r="D348" s="4">
        <v>540</v>
      </c>
      <c r="E348" s="4">
        <v>80</v>
      </c>
      <c r="F348" s="4">
        <v>3.15</v>
      </c>
      <c r="G348" s="4">
        <v>6.96</v>
      </c>
      <c r="H348" s="4">
        <v>0.93</v>
      </c>
      <c r="I348" s="4">
        <v>100</v>
      </c>
      <c r="J348" s="4">
        <v>3.22</v>
      </c>
    </row>
    <row r="349" spans="4:10" ht="15">
      <c r="D349" s="4">
        <v>560</v>
      </c>
      <c r="E349" s="4">
        <v>80</v>
      </c>
      <c r="F349" s="4">
        <v>3.24</v>
      </c>
      <c r="G349" s="4">
        <v>7.17</v>
      </c>
      <c r="H349" s="4">
        <v>0.93</v>
      </c>
      <c r="I349" s="4">
        <v>100</v>
      </c>
      <c r="J349" s="4">
        <v>3.31</v>
      </c>
    </row>
    <row r="350" spans="4:16" ht="15.75">
      <c r="D350" s="3" t="s">
        <v>544</v>
      </c>
      <c r="E350" s="7" t="s">
        <v>107</v>
      </c>
      <c r="F350" s="7" t="s">
        <v>108</v>
      </c>
      <c r="G350" s="3" t="s">
        <v>109</v>
      </c>
      <c r="H350" s="7" t="s">
        <v>106</v>
      </c>
      <c r="I350" s="7" t="s">
        <v>107</v>
      </c>
      <c r="J350" s="7" t="s">
        <v>108</v>
      </c>
      <c r="K350" s="4"/>
      <c r="L350" s="4"/>
      <c r="M350" s="4"/>
      <c r="N350" s="4"/>
      <c r="O350" s="4"/>
      <c r="P350" s="4"/>
    </row>
    <row r="351" spans="4:16" ht="15">
      <c r="D351" s="4">
        <v>480</v>
      </c>
      <c r="E351" s="4">
        <v>6.65</v>
      </c>
      <c r="F351" s="4">
        <v>0.98</v>
      </c>
      <c r="G351" s="4">
        <v>150</v>
      </c>
      <c r="H351" s="4">
        <v>3.06</v>
      </c>
      <c r="I351" s="4">
        <v>7.41</v>
      </c>
      <c r="J351" s="4">
        <v>1.02</v>
      </c>
      <c r="K351" s="4"/>
      <c r="L351" s="4"/>
      <c r="M351" s="4"/>
      <c r="N351" s="4"/>
      <c r="O351" s="4"/>
      <c r="P351" s="4"/>
    </row>
    <row r="352" spans="4:16" ht="15">
      <c r="D352" s="4">
        <v>500</v>
      </c>
      <c r="E352" s="4">
        <v>6.81</v>
      </c>
      <c r="F352" s="4">
        <v>0.96</v>
      </c>
      <c r="G352" s="4">
        <v>150</v>
      </c>
      <c r="H352" s="4">
        <v>3.14</v>
      </c>
      <c r="I352" s="4">
        <v>7.52</v>
      </c>
      <c r="J352" s="4">
        <v>1</v>
      </c>
      <c r="K352" s="4"/>
      <c r="L352" s="4"/>
      <c r="M352" s="4"/>
      <c r="N352" s="4"/>
      <c r="O352" s="4"/>
      <c r="P352" s="4"/>
    </row>
    <row r="353" spans="4:16" ht="15">
      <c r="D353" s="4">
        <v>520</v>
      </c>
      <c r="E353" s="4">
        <v>7</v>
      </c>
      <c r="F353" s="4">
        <v>0.95</v>
      </c>
      <c r="G353" s="4">
        <v>150</v>
      </c>
      <c r="H353" s="4">
        <v>3.21</v>
      </c>
      <c r="I353" s="4">
        <v>7.67</v>
      </c>
      <c r="J353" s="4">
        <v>0.98</v>
      </c>
      <c r="K353" s="4"/>
      <c r="L353" s="4"/>
      <c r="M353" s="4"/>
      <c r="N353" s="4"/>
      <c r="O353" s="4"/>
      <c r="P353" s="4"/>
    </row>
    <row r="354" spans="4:16" ht="15">
      <c r="D354" s="4">
        <v>540</v>
      </c>
      <c r="E354" s="4">
        <v>7.17</v>
      </c>
      <c r="F354" s="4">
        <v>0.94</v>
      </c>
      <c r="G354" s="4">
        <v>150</v>
      </c>
      <c r="H354" s="4">
        <v>3.29</v>
      </c>
      <c r="I354" s="4">
        <v>7.81</v>
      </c>
      <c r="J354" s="4">
        <v>0.96</v>
      </c>
      <c r="K354" s="4"/>
      <c r="L354" s="4"/>
      <c r="M354" s="4"/>
      <c r="N354" s="4"/>
      <c r="O354" s="4"/>
      <c r="P354" s="4"/>
    </row>
    <row r="355" spans="4:16" ht="15">
      <c r="D355" s="4">
        <v>560</v>
      </c>
      <c r="E355" s="4">
        <v>7.38</v>
      </c>
      <c r="F355" s="4">
        <v>0.93</v>
      </c>
      <c r="G355" s="4">
        <v>150</v>
      </c>
      <c r="H355" s="4">
        <v>3.37</v>
      </c>
      <c r="I355" s="4">
        <v>7.98</v>
      </c>
      <c r="J355" s="4">
        <v>0.95</v>
      </c>
      <c r="K355" s="4"/>
      <c r="L355" s="4"/>
      <c r="M355" s="4"/>
      <c r="N355" s="4"/>
      <c r="O355" s="4"/>
      <c r="P355" s="4"/>
    </row>
    <row r="356" ht="15.75">
      <c r="C356" s="10" t="s">
        <v>22</v>
      </c>
    </row>
    <row r="357" ht="15.75">
      <c r="C357" s="10" t="s">
        <v>23</v>
      </c>
    </row>
    <row r="358" ht="15.75">
      <c r="C358" s="10" t="s">
        <v>24</v>
      </c>
    </row>
    <row r="360" spans="2:4" ht="15">
      <c r="B360" s="1" t="s">
        <v>520</v>
      </c>
      <c r="C360" s="2"/>
      <c r="D360" s="1" t="s">
        <v>116</v>
      </c>
    </row>
    <row r="361" ht="15">
      <c r="D361" s="9" t="s">
        <v>436</v>
      </c>
    </row>
    <row r="362" spans="4:13" ht="15">
      <c r="D362" s="3" t="s">
        <v>544</v>
      </c>
      <c r="E362" s="3" t="s">
        <v>109</v>
      </c>
      <c r="F362" s="3" t="s">
        <v>375</v>
      </c>
      <c r="G362" s="3" t="s">
        <v>390</v>
      </c>
      <c r="H362" s="3" t="s">
        <v>109</v>
      </c>
      <c r="I362" s="3" t="s">
        <v>375</v>
      </c>
      <c r="J362" s="3" t="s">
        <v>390</v>
      </c>
      <c r="K362" s="3" t="s">
        <v>109</v>
      </c>
      <c r="L362" s="3" t="s">
        <v>375</v>
      </c>
      <c r="M362" s="3" t="s">
        <v>390</v>
      </c>
    </row>
    <row r="363" spans="4:13" ht="15">
      <c r="D363" s="3">
        <v>480</v>
      </c>
      <c r="E363" s="3">
        <v>80</v>
      </c>
      <c r="F363" s="3">
        <v>0.04117211636865637</v>
      </c>
      <c r="G363" s="3">
        <v>800.3591551554902</v>
      </c>
      <c r="H363" s="3">
        <v>90</v>
      </c>
      <c r="I363" s="3">
        <v>0.036229563833014226</v>
      </c>
      <c r="J363" s="3">
        <v>797.2662598842195</v>
      </c>
      <c r="K363" s="3">
        <v>100</v>
      </c>
      <c r="L363" s="3">
        <v>0.03227156663487209</v>
      </c>
      <c r="M363" s="3">
        <v>794.12045574186</v>
      </c>
    </row>
    <row r="364" spans="4:13" ht="15">
      <c r="D364" s="3">
        <v>500</v>
      </c>
      <c r="E364" s="3">
        <v>80</v>
      </c>
      <c r="F364" s="3">
        <v>0.0425983308259831</v>
      </c>
      <c r="G364" s="3">
        <v>812.2101067694205</v>
      </c>
      <c r="H364" s="3">
        <v>90</v>
      </c>
      <c r="I364" s="3">
        <v>0.037529911340508516</v>
      </c>
      <c r="J364" s="3">
        <v>809.3789282653784</v>
      </c>
      <c r="K364" s="3">
        <v>100</v>
      </c>
      <c r="L364" s="3">
        <v>0.03347219219253393</v>
      </c>
      <c r="M364" s="3">
        <v>806.5053627385289</v>
      </c>
    </row>
    <row r="365" spans="4:13" ht="15">
      <c r="D365" s="3">
        <v>520</v>
      </c>
      <c r="E365" s="3">
        <v>80</v>
      </c>
      <c r="F365" s="3">
        <v>0.04399817468444821</v>
      </c>
      <c r="G365" s="3">
        <v>823.9224372648578</v>
      </c>
      <c r="H365" s="3">
        <v>90</v>
      </c>
      <c r="I365" s="3">
        <v>0.038802855775475674</v>
      </c>
      <c r="J365" s="3">
        <v>821.317316786599</v>
      </c>
      <c r="K365" s="3">
        <v>100</v>
      </c>
      <c r="L365" s="3">
        <v>0.03464438220400314</v>
      </c>
      <c r="M365" s="3">
        <v>818.6780642401752</v>
      </c>
    </row>
    <row r="366" spans="4:13" ht="15">
      <c r="D366" s="3">
        <v>540</v>
      </c>
      <c r="E366" s="3">
        <v>80</v>
      </c>
      <c r="F366" s="3">
        <v>0.04537567664078027</v>
      </c>
      <c r="G366" s="3">
        <v>835.530230301728</v>
      </c>
      <c r="H366" s="3">
        <v>90</v>
      </c>
      <c r="I366" s="3">
        <v>0.040052665919612686</v>
      </c>
      <c r="J366" s="3">
        <v>833.1221377410934</v>
      </c>
      <c r="K366" s="3">
        <v>100</v>
      </c>
      <c r="L366" s="3">
        <v>0.0357926455359451</v>
      </c>
      <c r="M366" s="3">
        <v>830.6864376492416</v>
      </c>
    </row>
    <row r="367" spans="4:13" ht="15">
      <c r="D367" s="3">
        <v>560</v>
      </c>
      <c r="E367" s="3">
        <v>80</v>
      </c>
      <c r="F367" s="3">
        <v>0.046734077175705234</v>
      </c>
      <c r="G367" s="3">
        <v>847.0605346069077</v>
      </c>
      <c r="H367" s="3">
        <v>90</v>
      </c>
      <c r="I367" s="3">
        <v>0.041282761763750245</v>
      </c>
      <c r="J367" s="3">
        <v>844.8255700986634</v>
      </c>
      <c r="K367" s="3">
        <v>100</v>
      </c>
      <c r="L367" s="3">
        <v>0.03692058168929525</v>
      </c>
      <c r="M367" s="3">
        <v>842.5681903488653</v>
      </c>
    </row>
    <row r="368" spans="4:19" ht="15">
      <c r="D368" s="3" t="s">
        <v>544</v>
      </c>
      <c r="E368" s="3" t="s">
        <v>109</v>
      </c>
      <c r="F368" s="3" t="s">
        <v>375</v>
      </c>
      <c r="G368" s="3" t="s">
        <v>390</v>
      </c>
      <c r="H368" s="3" t="s">
        <v>109</v>
      </c>
      <c r="I368" s="3" t="s">
        <v>375</v>
      </c>
      <c r="J368" s="3" t="s">
        <v>390</v>
      </c>
      <c r="K368" s="3"/>
      <c r="L368" s="3"/>
      <c r="M368" s="3"/>
      <c r="N368" s="4"/>
      <c r="O368" s="4"/>
      <c r="P368" s="4"/>
      <c r="Q368" s="4"/>
      <c r="R368" s="4"/>
      <c r="S368" s="4"/>
    </row>
    <row r="369" spans="4:19" ht="15">
      <c r="D369" s="3">
        <v>480</v>
      </c>
      <c r="E369" s="3">
        <v>110</v>
      </c>
      <c r="F369" s="3">
        <v>0.02902960968218449</v>
      </c>
      <c r="G369" s="3">
        <v>790.9217427284118</v>
      </c>
      <c r="H369" s="3">
        <v>120</v>
      </c>
      <c r="I369" s="3">
        <v>0.026324682913587808</v>
      </c>
      <c r="J369" s="3">
        <v>787.670120843875</v>
      </c>
      <c r="K369" s="3"/>
      <c r="L369" s="3"/>
      <c r="M369" s="3"/>
      <c r="N369" s="4"/>
      <c r="O369" s="4"/>
      <c r="P369" s="4"/>
      <c r="Q369" s="4"/>
      <c r="R369" s="4"/>
      <c r="S369" s="4"/>
    </row>
    <row r="370" spans="4:19" ht="15">
      <c r="D370" s="3">
        <v>500</v>
      </c>
      <c r="E370" s="3">
        <v>110</v>
      </c>
      <c r="F370" s="3">
        <v>0.030149527835468447</v>
      </c>
      <c r="G370" s="3">
        <v>803.5894101888722</v>
      </c>
      <c r="H370" s="3">
        <v>120</v>
      </c>
      <c r="I370" s="3">
        <v>0.02737815457158478</v>
      </c>
      <c r="J370" s="3">
        <v>800.6310706164081</v>
      </c>
      <c r="K370" s="3"/>
      <c r="L370" s="3"/>
      <c r="M370" s="3"/>
      <c r="N370" s="4"/>
      <c r="O370" s="4"/>
      <c r="P370" s="4"/>
      <c r="Q370" s="4"/>
      <c r="R370" s="4"/>
      <c r="S370" s="4"/>
    </row>
    <row r="371" spans="4:19" ht="15">
      <c r="D371" s="3">
        <v>520</v>
      </c>
      <c r="E371" s="3">
        <v>110</v>
      </c>
      <c r="F371" s="3">
        <v>0.031239977968894238</v>
      </c>
      <c r="G371" s="3">
        <v>816.0046796255864</v>
      </c>
      <c r="H371" s="3">
        <v>120</v>
      </c>
      <c r="I371" s="3">
        <v>0.028401125736058075</v>
      </c>
      <c r="J371" s="3">
        <v>813.2971629428324</v>
      </c>
      <c r="K371" s="3"/>
      <c r="L371" s="3"/>
      <c r="M371" s="3"/>
      <c r="N371" s="4"/>
      <c r="O371" s="4"/>
      <c r="P371" s="4"/>
      <c r="Q371" s="4"/>
      <c r="R371" s="4"/>
      <c r="S371" s="4"/>
    </row>
    <row r="372" spans="4:19" ht="15">
      <c r="D372" s="3">
        <v>540</v>
      </c>
      <c r="E372" s="3">
        <v>110</v>
      </c>
      <c r="F372" s="3">
        <v>0.03230570903409569</v>
      </c>
      <c r="G372" s="3">
        <v>828.2231300261726</v>
      </c>
      <c r="H372" s="3">
        <v>120</v>
      </c>
      <c r="I372" s="3">
        <v>0.029398585443609928</v>
      </c>
      <c r="J372" s="3">
        <v>825.7322148718864</v>
      </c>
      <c r="K372" s="3"/>
      <c r="L372" s="3"/>
      <c r="M372" s="3"/>
      <c r="N372" s="4"/>
      <c r="O372" s="4"/>
      <c r="P372" s="4"/>
      <c r="Q372" s="4"/>
      <c r="R372" s="4"/>
      <c r="S372" s="4"/>
    </row>
    <row r="373" spans="4:19" ht="15">
      <c r="D373" s="3">
        <v>560</v>
      </c>
      <c r="E373" s="3">
        <v>110</v>
      </c>
      <c r="F373" s="3">
        <v>0.033350500042112985</v>
      </c>
      <c r="G373" s="3">
        <v>840.2883953575133</v>
      </c>
      <c r="H373" s="3">
        <v>120</v>
      </c>
      <c r="I373" s="3">
        <v>0.03037449221538526</v>
      </c>
      <c r="J373" s="3">
        <v>837.9861851246075</v>
      </c>
      <c r="K373" s="3"/>
      <c r="L373" s="3"/>
      <c r="M373" s="3"/>
      <c r="N373" s="4"/>
      <c r="O373" s="4"/>
      <c r="P373" s="4"/>
      <c r="Q373" s="4"/>
      <c r="R373" s="4"/>
      <c r="S373" s="4"/>
    </row>
    <row r="374" spans="4:19" ht="15">
      <c r="D374" s="1" t="s">
        <v>117</v>
      </c>
      <c r="E374" s="3"/>
      <c r="F374" s="3"/>
      <c r="G374" s="3"/>
      <c r="H374" s="3"/>
      <c r="I374" s="3"/>
      <c r="J374" s="3"/>
      <c r="K374" s="3"/>
      <c r="L374" s="3"/>
      <c r="M374" s="3"/>
      <c r="N374" s="4"/>
      <c r="O374" s="4"/>
      <c r="P374" s="4"/>
      <c r="Q374" s="4"/>
      <c r="R374" s="4"/>
      <c r="S374" s="4"/>
    </row>
    <row r="375" spans="4:19" ht="15">
      <c r="D375" s="1" t="s">
        <v>118</v>
      </c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4:19" ht="15">
      <c r="D376" s="1" t="s">
        <v>119</v>
      </c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4:19" ht="15">
      <c r="D377" s="2" t="s">
        <v>25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ht="15">
      <c r="D378" s="9" t="s">
        <v>437</v>
      </c>
    </row>
    <row r="380" spans="4:5" ht="15">
      <c r="D380" s="1" t="s">
        <v>120</v>
      </c>
      <c r="E380" s="1" t="s">
        <v>309</v>
      </c>
    </row>
    <row r="381" spans="4:12" ht="15">
      <c r="D381" s="3" t="s">
        <v>121</v>
      </c>
      <c r="E381" s="3" t="s">
        <v>310</v>
      </c>
      <c r="F381" s="3" t="s">
        <v>358</v>
      </c>
      <c r="G381" s="3" t="s">
        <v>359</v>
      </c>
      <c r="H381" s="3" t="s">
        <v>360</v>
      </c>
      <c r="I381" s="3" t="s">
        <v>361</v>
      </c>
      <c r="J381" s="3" t="s">
        <v>352</v>
      </c>
      <c r="K381" s="3" t="s">
        <v>402</v>
      </c>
      <c r="L381" s="3" t="s">
        <v>414</v>
      </c>
    </row>
    <row r="382" spans="3:12" ht="15">
      <c r="C382" s="1" t="s">
        <v>26</v>
      </c>
      <c r="D382" s="4">
        <v>0.2</v>
      </c>
      <c r="E382" s="4">
        <v>94</v>
      </c>
      <c r="F382" s="4">
        <v>1.2</v>
      </c>
      <c r="G382" s="4">
        <v>0.7</v>
      </c>
      <c r="H382" s="4">
        <v>0.4</v>
      </c>
      <c r="I382" s="4">
        <v>0.2</v>
      </c>
      <c r="J382" s="4">
        <v>3.3</v>
      </c>
      <c r="K382" s="4">
        <v>8560</v>
      </c>
      <c r="L382" s="4">
        <v>0.765</v>
      </c>
    </row>
    <row r="383" spans="4:5" ht="15">
      <c r="D383" s="1" t="s">
        <v>122</v>
      </c>
      <c r="E383" s="1" t="s">
        <v>311</v>
      </c>
    </row>
    <row r="384" spans="3:8" ht="15">
      <c r="C384" s="1" t="s">
        <v>27</v>
      </c>
      <c r="D384" s="3" t="s">
        <v>123</v>
      </c>
      <c r="E384" s="3" t="s">
        <v>312</v>
      </c>
      <c r="F384" s="3" t="s">
        <v>376</v>
      </c>
      <c r="G384" s="3" t="s">
        <v>391</v>
      </c>
      <c r="H384" s="3" t="s">
        <v>399</v>
      </c>
    </row>
    <row r="385" spans="3:8" ht="15">
      <c r="C385" s="1" t="s">
        <v>28</v>
      </c>
      <c r="D385" s="4">
        <v>9.51</v>
      </c>
      <c r="E385" s="4">
        <v>1.01</v>
      </c>
      <c r="F385" s="4">
        <v>7.54</v>
      </c>
      <c r="G385" s="4">
        <v>2.13</v>
      </c>
      <c r="H385" s="4">
        <v>10.68</v>
      </c>
    </row>
    <row r="388" ht="15">
      <c r="E388" s="1" t="s">
        <v>313</v>
      </c>
    </row>
    <row r="389" ht="15">
      <c r="D389" s="1" t="s">
        <v>124</v>
      </c>
    </row>
    <row r="390" spans="3:4" ht="15">
      <c r="C390" s="1"/>
      <c r="D390" s="1" t="s">
        <v>29</v>
      </c>
    </row>
    <row r="391" spans="5:7" ht="15">
      <c r="E391" s="1" t="s">
        <v>314</v>
      </c>
      <c r="G391" s="1" t="s">
        <v>125</v>
      </c>
    </row>
    <row r="392" ht="15">
      <c r="D392" s="1" t="s">
        <v>126</v>
      </c>
    </row>
    <row r="393" spans="3:4" ht="15">
      <c r="C393" s="1"/>
      <c r="D393" s="1" t="s">
        <v>438</v>
      </c>
    </row>
    <row r="394" ht="15">
      <c r="E394" s="1" t="s">
        <v>315</v>
      </c>
    </row>
    <row r="395" ht="15">
      <c r="E395" s="1" t="s">
        <v>316</v>
      </c>
    </row>
    <row r="396" spans="3:9" ht="15">
      <c r="C396" s="1"/>
      <c r="D396" s="1"/>
      <c r="E396" s="1" t="s">
        <v>127</v>
      </c>
      <c r="I396" s="1" t="s">
        <v>30</v>
      </c>
    </row>
    <row r="397" ht="15">
      <c r="E397" s="1" t="s">
        <v>317</v>
      </c>
    </row>
    <row r="398" spans="3:5" ht="15">
      <c r="C398" s="1"/>
      <c r="D398" s="1"/>
      <c r="E398" s="1" t="s">
        <v>128</v>
      </c>
    </row>
    <row r="399" spans="3:5" ht="15">
      <c r="C399" s="1"/>
      <c r="D399" s="1"/>
      <c r="E399" s="1" t="s">
        <v>31</v>
      </c>
    </row>
    <row r="400" ht="15">
      <c r="D400" s="1" t="s">
        <v>129</v>
      </c>
    </row>
    <row r="401" spans="3:4" ht="15">
      <c r="C401" s="1"/>
      <c r="D401" s="1" t="s">
        <v>439</v>
      </c>
    </row>
    <row r="402" ht="15">
      <c r="E402" s="1" t="s">
        <v>318</v>
      </c>
    </row>
    <row r="403" spans="4:5" ht="15">
      <c r="D403" s="1"/>
      <c r="E403" s="1" t="s">
        <v>130</v>
      </c>
    </row>
    <row r="404" ht="15">
      <c r="E404" s="1" t="s">
        <v>319</v>
      </c>
    </row>
    <row r="405" spans="4:5" ht="15">
      <c r="D405" s="1"/>
      <c r="E405" s="1" t="s">
        <v>131</v>
      </c>
    </row>
    <row r="406" spans="4:5" ht="15">
      <c r="D406" s="1"/>
      <c r="E406" s="1" t="s">
        <v>320</v>
      </c>
    </row>
    <row r="407" ht="15">
      <c r="D407" s="1" t="s">
        <v>132</v>
      </c>
    </row>
    <row r="408" spans="3:5" ht="15">
      <c r="C408" s="1"/>
      <c r="D408" s="1"/>
      <c r="E408" s="1" t="s">
        <v>32</v>
      </c>
    </row>
    <row r="409" spans="3:4" ht="15">
      <c r="C409" s="1"/>
      <c r="D409" s="1"/>
    </row>
    <row r="410" ht="15">
      <c r="D410" s="1" t="s">
        <v>133</v>
      </c>
    </row>
    <row r="411" ht="15">
      <c r="D411" s="1" t="s">
        <v>134</v>
      </c>
    </row>
    <row r="412" spans="3:4" ht="15">
      <c r="C412" s="1"/>
      <c r="D412" s="1" t="s">
        <v>440</v>
      </c>
    </row>
    <row r="413" ht="15">
      <c r="E413" s="1" t="s">
        <v>321</v>
      </c>
    </row>
    <row r="414" spans="4:5" ht="15">
      <c r="D414" s="1"/>
      <c r="E414" s="1" t="s">
        <v>135</v>
      </c>
    </row>
    <row r="415" ht="15">
      <c r="E415" s="1" t="s">
        <v>322</v>
      </c>
    </row>
    <row r="416" spans="4:5" ht="15">
      <c r="D416" s="1"/>
      <c r="E416" s="1" t="s">
        <v>136</v>
      </c>
    </row>
    <row r="417" spans="4:5" ht="15">
      <c r="D417" s="1"/>
      <c r="E417" s="1"/>
    </row>
    <row r="418" ht="15">
      <c r="D418" s="1" t="s">
        <v>137</v>
      </c>
    </row>
    <row r="419" ht="15">
      <c r="D419" s="1" t="s">
        <v>138</v>
      </c>
    </row>
    <row r="420" spans="3:5" ht="15">
      <c r="C420" s="1"/>
      <c r="E420" s="1" t="s">
        <v>33</v>
      </c>
    </row>
    <row r="421" ht="15">
      <c r="D421" s="1" t="s">
        <v>139</v>
      </c>
    </row>
    <row r="422" ht="15">
      <c r="D422" s="1" t="s">
        <v>140</v>
      </c>
    </row>
    <row r="423" ht="15">
      <c r="E423" s="1" t="s">
        <v>323</v>
      </c>
    </row>
    <row r="424" spans="4:5" ht="15">
      <c r="D424" s="1"/>
      <c r="E424" s="1" t="s">
        <v>141</v>
      </c>
    </row>
    <row r="425" spans="4:5" ht="15">
      <c r="D425" s="1"/>
      <c r="E425" s="1" t="s">
        <v>324</v>
      </c>
    </row>
    <row r="426" spans="4:5" ht="15">
      <c r="D426" s="1"/>
      <c r="E426" s="1" t="s">
        <v>441</v>
      </c>
    </row>
    <row r="427" ht="15">
      <c r="E427" s="1" t="s">
        <v>442</v>
      </c>
    </row>
    <row r="428" ht="15">
      <c r="E428" s="1"/>
    </row>
    <row r="429" spans="4:5" ht="15">
      <c r="D429" s="1" t="s">
        <v>142</v>
      </c>
      <c r="E429" s="1"/>
    </row>
    <row r="430" ht="15">
      <c r="E430" s="1" t="s">
        <v>34</v>
      </c>
    </row>
    <row r="431" ht="15">
      <c r="D431" s="1" t="s">
        <v>143</v>
      </c>
    </row>
    <row r="432" spans="3:5" ht="15">
      <c r="C432" s="2"/>
      <c r="D432" s="1"/>
      <c r="E432" s="2" t="s">
        <v>35</v>
      </c>
    </row>
    <row r="433" spans="3:4" ht="15">
      <c r="C433" s="2"/>
      <c r="D433" s="1"/>
    </row>
    <row r="434" spans="3:4" ht="15">
      <c r="C434" s="2"/>
      <c r="D434" s="1" t="s">
        <v>144</v>
      </c>
    </row>
    <row r="435" ht="15">
      <c r="D435" s="1" t="s">
        <v>145</v>
      </c>
    </row>
    <row r="436" ht="15">
      <c r="D436" s="1" t="s">
        <v>443</v>
      </c>
    </row>
    <row r="437" ht="15">
      <c r="D437" s="1" t="s">
        <v>146</v>
      </c>
    </row>
    <row r="438" spans="3:4" ht="15">
      <c r="C438" s="1"/>
      <c r="D438" s="1" t="s">
        <v>444</v>
      </c>
    </row>
    <row r="439" spans="3:4" ht="15">
      <c r="C439" s="1"/>
      <c r="D439" s="1" t="s">
        <v>147</v>
      </c>
    </row>
    <row r="440" ht="15">
      <c r="D440" s="1" t="s">
        <v>445</v>
      </c>
    </row>
    <row r="441" ht="15">
      <c r="D441" s="1" t="s">
        <v>148</v>
      </c>
    </row>
    <row r="442" spans="3:4" ht="15">
      <c r="C442" s="1"/>
      <c r="D442" s="1" t="s">
        <v>446</v>
      </c>
    </row>
    <row r="443" spans="3:4" ht="15">
      <c r="C443" s="1"/>
      <c r="D443" s="1" t="s">
        <v>149</v>
      </c>
    </row>
    <row r="444" ht="15">
      <c r="D444" s="1" t="s">
        <v>447</v>
      </c>
    </row>
    <row r="445" spans="2:4" ht="15">
      <c r="B445" s="1"/>
      <c r="C445" s="1"/>
      <c r="D445" s="1" t="s">
        <v>448</v>
      </c>
    </row>
    <row r="446" ht="15">
      <c r="D446" s="1" t="s">
        <v>129</v>
      </c>
    </row>
    <row r="447" ht="15">
      <c r="D447" s="1" t="s">
        <v>150</v>
      </c>
    </row>
    <row r="448" spans="3:4" ht="15">
      <c r="C448" s="1"/>
      <c r="D448" s="1" t="s">
        <v>449</v>
      </c>
    </row>
    <row r="449" spans="3:4" ht="15">
      <c r="C449" s="1"/>
      <c r="D449" s="1" t="s">
        <v>151</v>
      </c>
    </row>
    <row r="450" spans="3:4" ht="15">
      <c r="C450" s="1"/>
      <c r="D450" s="9" t="s">
        <v>450</v>
      </c>
    </row>
    <row r="452" ht="15">
      <c r="D452" s="1" t="s">
        <v>152</v>
      </c>
    </row>
    <row r="453" spans="3:4" ht="15">
      <c r="C453" s="1"/>
      <c r="D453" s="1" t="s">
        <v>451</v>
      </c>
    </row>
    <row r="454" spans="3:4" ht="15">
      <c r="C454" s="1"/>
      <c r="D454" s="1" t="s">
        <v>452</v>
      </c>
    </row>
    <row r="455" spans="4:12" ht="15">
      <c r="D455" s="3" t="s">
        <v>153</v>
      </c>
      <c r="E455" s="3" t="s">
        <v>325</v>
      </c>
      <c r="F455" s="3" t="s">
        <v>377</v>
      </c>
      <c r="G455" s="3" t="s">
        <v>325</v>
      </c>
      <c r="H455" s="3" t="s">
        <v>377</v>
      </c>
      <c r="I455" s="3" t="s">
        <v>325</v>
      </c>
      <c r="J455" s="3" t="s">
        <v>377</v>
      </c>
      <c r="K455" s="3" t="s">
        <v>325</v>
      </c>
      <c r="L455" s="3" t="s">
        <v>377</v>
      </c>
    </row>
    <row r="456" spans="4:12" ht="15">
      <c r="D456" s="4">
        <v>1</v>
      </c>
      <c r="E456" s="4">
        <v>1.4</v>
      </c>
      <c r="F456" s="4">
        <v>1</v>
      </c>
      <c r="G456" s="4">
        <v>0.8</v>
      </c>
      <c r="H456" s="4">
        <v>1</v>
      </c>
      <c r="I456" s="4">
        <v>0.5</v>
      </c>
      <c r="J456" s="4">
        <v>1</v>
      </c>
      <c r="K456" s="4">
        <v>0</v>
      </c>
      <c r="L456" s="4">
        <v>1</v>
      </c>
    </row>
    <row r="457" spans="4:12" ht="15">
      <c r="D457" s="4">
        <v>1.6</v>
      </c>
      <c r="E457" s="4">
        <v>1.4</v>
      </c>
      <c r="F457" s="4">
        <v>0.955</v>
      </c>
      <c r="G457" s="4">
        <v>0.8</v>
      </c>
      <c r="H457" s="4">
        <v>0.94</v>
      </c>
      <c r="I457" s="4">
        <v>0.5</v>
      </c>
      <c r="J457" s="4">
        <v>0.91</v>
      </c>
      <c r="K457" s="4">
        <v>0</v>
      </c>
      <c r="L457" s="4">
        <v>0.82</v>
      </c>
    </row>
    <row r="458" spans="4:12" ht="15">
      <c r="D458" s="4">
        <v>3</v>
      </c>
      <c r="E458" s="4">
        <v>1.4</v>
      </c>
      <c r="F458" s="4">
        <v>0.728</v>
      </c>
      <c r="G458" s="4">
        <v>0.8</v>
      </c>
      <c r="H458" s="4">
        <v>0.692</v>
      </c>
      <c r="I458" s="4">
        <v>0.5</v>
      </c>
      <c r="J458" s="4">
        <v>0.645</v>
      </c>
      <c r="K458" s="4">
        <v>0</v>
      </c>
      <c r="L458" s="4">
        <v>0.473</v>
      </c>
    </row>
    <row r="459" spans="4:12" ht="15">
      <c r="D459" s="4">
        <v>5</v>
      </c>
      <c r="E459" s="4">
        <v>1.4</v>
      </c>
      <c r="F459" s="4">
        <v>0.494</v>
      </c>
      <c r="G459" s="4">
        <v>0.8</v>
      </c>
      <c r="H459" s="4">
        <v>0.458</v>
      </c>
      <c r="I459" s="4">
        <v>0.5</v>
      </c>
      <c r="J459" s="4">
        <v>0.412</v>
      </c>
      <c r="K459" s="4">
        <v>0</v>
      </c>
      <c r="L459" s="4">
        <v>0.29</v>
      </c>
    </row>
    <row r="460" spans="4:12" ht="15">
      <c r="D460" s="4">
        <v>7</v>
      </c>
      <c r="E460" s="4">
        <v>1.4</v>
      </c>
      <c r="F460" s="4">
        <v>0.38</v>
      </c>
      <c r="G460" s="4">
        <v>0.8</v>
      </c>
      <c r="H460" s="4">
        <v>0.347</v>
      </c>
      <c r="I460" s="4">
        <v>0.5</v>
      </c>
      <c r="J460" s="4">
        <v>0.313</v>
      </c>
      <c r="K460" s="4">
        <v>0</v>
      </c>
      <c r="L460" s="4">
        <v>0.2</v>
      </c>
    </row>
    <row r="461" ht="15">
      <c r="D461" s="1" t="s">
        <v>154</v>
      </c>
    </row>
    <row r="462" ht="15">
      <c r="E462" s="1" t="s">
        <v>326</v>
      </c>
    </row>
    <row r="463" ht="15">
      <c r="D463" s="1" t="s">
        <v>155</v>
      </c>
    </row>
    <row r="464" ht="15">
      <c r="E464" s="1" t="s">
        <v>327</v>
      </c>
    </row>
    <row r="465" ht="15">
      <c r="D465" s="1" t="s">
        <v>156</v>
      </c>
    </row>
    <row r="466" spans="4:9" ht="15">
      <c r="D466" s="5" t="s">
        <v>153</v>
      </c>
      <c r="E466" s="4">
        <v>1</v>
      </c>
      <c r="F466" s="4">
        <v>1.6</v>
      </c>
      <c r="G466" s="4">
        <v>3</v>
      </c>
      <c r="H466" s="4">
        <v>5</v>
      </c>
      <c r="I466" s="4">
        <v>7</v>
      </c>
    </row>
    <row r="467" spans="4:9" ht="15">
      <c r="D467" s="5" t="s">
        <v>157</v>
      </c>
      <c r="E467" s="4">
        <v>1</v>
      </c>
      <c r="F467" s="4">
        <v>0.74</v>
      </c>
      <c r="G467" s="4">
        <v>0.45</v>
      </c>
      <c r="H467" s="4">
        <v>0.29</v>
      </c>
      <c r="I467" s="4">
        <v>0.2</v>
      </c>
    </row>
    <row r="468" ht="15">
      <c r="D468" s="1" t="s">
        <v>158</v>
      </c>
    </row>
    <row r="469" ht="15">
      <c r="D469" s="1" t="s">
        <v>159</v>
      </c>
    </row>
    <row r="470" spans="3:4" ht="15">
      <c r="C470" s="1"/>
      <c r="D470" s="1" t="s">
        <v>453</v>
      </c>
    </row>
    <row r="472" ht="15">
      <c r="E472" s="1" t="s">
        <v>328</v>
      </c>
    </row>
    <row r="473" ht="15">
      <c r="C473" s="1" t="s">
        <v>36</v>
      </c>
    </row>
    <row r="474" ht="15">
      <c r="C474" s="1" t="s">
        <v>37</v>
      </c>
    </row>
    <row r="475" spans="2:4" ht="15">
      <c r="B475" s="1"/>
      <c r="C475" s="1"/>
      <c r="D475" s="1" t="s">
        <v>456</v>
      </c>
    </row>
    <row r="476" spans="2:4" ht="15">
      <c r="B476" s="1"/>
      <c r="C476" s="1"/>
      <c r="D476" s="1" t="s">
        <v>455</v>
      </c>
    </row>
    <row r="477" spans="2:4" ht="15">
      <c r="B477" s="1"/>
      <c r="C477" s="1"/>
      <c r="D477" s="1" t="s">
        <v>160</v>
      </c>
    </row>
    <row r="478" spans="2:4" ht="15">
      <c r="B478" s="1"/>
      <c r="C478" s="1"/>
      <c r="D478" s="1" t="s">
        <v>454</v>
      </c>
    </row>
    <row r="479" spans="2:4" ht="15">
      <c r="B479" s="1"/>
      <c r="C479" s="1"/>
      <c r="D479" s="1" t="s">
        <v>161</v>
      </c>
    </row>
    <row r="480" spans="2:4" ht="15">
      <c r="B480" s="1"/>
      <c r="C480" s="1"/>
      <c r="D480" s="9" t="s">
        <v>457</v>
      </c>
    </row>
    <row r="481" spans="2:4" ht="15">
      <c r="B481" s="1"/>
      <c r="C481" s="1"/>
      <c r="D481" s="1" t="s">
        <v>162</v>
      </c>
    </row>
    <row r="482" ht="15">
      <c r="D482" s="1" t="s">
        <v>458</v>
      </c>
    </row>
    <row r="483" ht="15">
      <c r="D483" s="9" t="s">
        <v>459</v>
      </c>
    </row>
    <row r="484" spans="4:9" ht="15">
      <c r="D484" s="1" t="s">
        <v>163</v>
      </c>
      <c r="I484" s="1" t="s">
        <v>405</v>
      </c>
    </row>
    <row r="485" ht="15">
      <c r="D485" s="1" t="s">
        <v>460</v>
      </c>
    </row>
    <row r="486" spans="4:9" ht="15">
      <c r="D486" s="1" t="s">
        <v>164</v>
      </c>
      <c r="I486" s="1" t="s">
        <v>406</v>
      </c>
    </row>
    <row r="487" spans="2:9" ht="15">
      <c r="B487" s="1"/>
      <c r="C487" s="1"/>
      <c r="D487" s="1" t="s">
        <v>461</v>
      </c>
      <c r="I487" s="1"/>
    </row>
    <row r="488" spans="2:9" ht="15">
      <c r="B488" s="1"/>
      <c r="C488" s="1"/>
      <c r="D488" s="1" t="s">
        <v>462</v>
      </c>
      <c r="I488" s="1"/>
    </row>
    <row r="489" spans="2:6" ht="15">
      <c r="B489" s="1"/>
      <c r="C489" s="1"/>
      <c r="D489" s="1" t="s">
        <v>165</v>
      </c>
      <c r="F489" s="1" t="s">
        <v>378</v>
      </c>
    </row>
    <row r="490" ht="15">
      <c r="D490" s="1" t="s">
        <v>463</v>
      </c>
    </row>
    <row r="491" spans="2:4" ht="15">
      <c r="B491" s="1"/>
      <c r="D491" s="1" t="s">
        <v>464</v>
      </c>
    </row>
    <row r="492" spans="2:4" ht="15">
      <c r="B492" s="1"/>
      <c r="D492" s="1" t="s">
        <v>329</v>
      </c>
    </row>
    <row r="493" ht="15">
      <c r="D493" s="1" t="s">
        <v>465</v>
      </c>
    </row>
    <row r="494" ht="15">
      <c r="D494" s="1" t="s">
        <v>330</v>
      </c>
    </row>
    <row r="495" spans="4:5" ht="15">
      <c r="D495" s="1" t="s">
        <v>466</v>
      </c>
      <c r="E495" s="1"/>
    </row>
    <row r="496" spans="4:5" ht="15">
      <c r="D496" s="1"/>
      <c r="E496" s="1"/>
    </row>
    <row r="497" ht="15">
      <c r="E497" s="1" t="s">
        <v>166</v>
      </c>
    </row>
    <row r="498" ht="15">
      <c r="D498" s="9" t="s">
        <v>467</v>
      </c>
    </row>
    <row r="499" ht="15">
      <c r="D499" s="1" t="s">
        <v>167</v>
      </c>
    </row>
    <row r="500" spans="3:4" ht="15">
      <c r="C500" s="1"/>
      <c r="D500" s="1" t="s">
        <v>468</v>
      </c>
    </row>
    <row r="501" spans="3:4" ht="15">
      <c r="C501" s="1"/>
      <c r="D501" s="1" t="s">
        <v>168</v>
      </c>
    </row>
    <row r="502" spans="3:4" ht="15">
      <c r="C502" s="1" t="s">
        <v>520</v>
      </c>
      <c r="D502" s="9" t="s">
        <v>469</v>
      </c>
    </row>
    <row r="503" spans="3:4" ht="15">
      <c r="C503" s="1"/>
      <c r="D503" s="9"/>
    </row>
    <row r="504" ht="15">
      <c r="D504" s="1" t="s">
        <v>169</v>
      </c>
    </row>
    <row r="505" ht="15">
      <c r="E505" s="1" t="s">
        <v>331</v>
      </c>
    </row>
    <row r="506" ht="15">
      <c r="D506" s="1" t="s">
        <v>170</v>
      </c>
    </row>
    <row r="507" ht="15">
      <c r="E507" s="1" t="s">
        <v>332</v>
      </c>
    </row>
    <row r="508" ht="15">
      <c r="D508" s="1" t="s">
        <v>171</v>
      </c>
    </row>
    <row r="509" ht="15">
      <c r="E509" s="1" t="s">
        <v>333</v>
      </c>
    </row>
    <row r="510" ht="15">
      <c r="E510" s="1" t="s">
        <v>334</v>
      </c>
    </row>
    <row r="511" spans="4:5" ht="15">
      <c r="D511" s="1"/>
      <c r="E511" s="1" t="s">
        <v>172</v>
      </c>
    </row>
    <row r="512" spans="4:5" ht="15">
      <c r="D512" s="1" t="s">
        <v>173</v>
      </c>
      <c r="E512" s="1"/>
    </row>
    <row r="513" spans="4:5" ht="15">
      <c r="D513" s="9" t="s">
        <v>469</v>
      </c>
      <c r="E513" s="1"/>
    </row>
    <row r="514" ht="15">
      <c r="C514" s="1" t="s">
        <v>520</v>
      </c>
    </row>
    <row r="515" ht="15">
      <c r="D515" s="1" t="s">
        <v>174</v>
      </c>
    </row>
    <row r="516" ht="15">
      <c r="D516" s="1" t="s">
        <v>175</v>
      </c>
    </row>
    <row r="517" spans="3:4" ht="15">
      <c r="C517" s="1"/>
      <c r="D517" s="1" t="s">
        <v>470</v>
      </c>
    </row>
    <row r="518" spans="3:4" ht="15">
      <c r="C518" s="1"/>
      <c r="D518" s="1"/>
    </row>
    <row r="519" ht="15">
      <c r="D519" s="1" t="s">
        <v>176</v>
      </c>
    </row>
    <row r="520" ht="15">
      <c r="D520" s="1" t="s">
        <v>177</v>
      </c>
    </row>
    <row r="521" ht="15">
      <c r="D521" s="1" t="s">
        <v>471</v>
      </c>
    </row>
    <row r="522" ht="15">
      <c r="D522" s="1" t="s">
        <v>335</v>
      </c>
    </row>
    <row r="523" spans="3:4" ht="15">
      <c r="C523" s="1"/>
      <c r="D523" s="1" t="s">
        <v>473</v>
      </c>
    </row>
    <row r="524" spans="3:4" ht="15">
      <c r="C524" s="1"/>
      <c r="D524" s="1" t="s">
        <v>472</v>
      </c>
    </row>
    <row r="525" spans="3:5" ht="15">
      <c r="C525" s="1"/>
      <c r="D525" s="1" t="s">
        <v>178</v>
      </c>
      <c r="E525" s="1"/>
    </row>
    <row r="526" spans="3:5" ht="15">
      <c r="C526" s="1"/>
      <c r="D526" s="1" t="s">
        <v>228</v>
      </c>
      <c r="E526" s="1"/>
    </row>
    <row r="527" ht="15">
      <c r="D527" s="1" t="s">
        <v>474</v>
      </c>
    </row>
    <row r="528" ht="15">
      <c r="D528" s="9" t="s">
        <v>475</v>
      </c>
    </row>
    <row r="529" ht="15">
      <c r="D529" s="1" t="s">
        <v>336</v>
      </c>
    </row>
    <row r="530" spans="4:5" ht="15">
      <c r="D530" s="1" t="s">
        <v>476</v>
      </c>
      <c r="E530" s="1"/>
    </row>
    <row r="531" spans="4:5" ht="15">
      <c r="D531" s="1"/>
      <c r="E531" s="1"/>
    </row>
    <row r="532" spans="4:5" ht="15">
      <c r="D532" s="1"/>
      <c r="E532" s="1" t="s">
        <v>337</v>
      </c>
    </row>
    <row r="533" ht="15">
      <c r="D533" s="2" t="s">
        <v>39</v>
      </c>
    </row>
    <row r="534" ht="15">
      <c r="D534" s="1" t="s">
        <v>179</v>
      </c>
    </row>
    <row r="535" spans="3:4" ht="15">
      <c r="C535" s="2"/>
      <c r="D535" s="1" t="s">
        <v>477</v>
      </c>
    </row>
    <row r="536" spans="3:4" ht="15">
      <c r="C536" s="2"/>
      <c r="D536" s="2" t="s">
        <v>40</v>
      </c>
    </row>
    <row r="537" spans="4:15" ht="15">
      <c r="D537" s="3" t="s">
        <v>544</v>
      </c>
      <c r="E537" s="3" t="s">
        <v>338</v>
      </c>
      <c r="F537" s="3" t="s">
        <v>379</v>
      </c>
      <c r="G537" s="3" t="s">
        <v>544</v>
      </c>
      <c r="H537" s="3" t="s">
        <v>338</v>
      </c>
      <c r="I537" s="3" t="s">
        <v>379</v>
      </c>
      <c r="J537" s="3" t="s">
        <v>544</v>
      </c>
      <c r="K537" s="3" t="s">
        <v>338</v>
      </c>
      <c r="L537" s="3" t="s">
        <v>379</v>
      </c>
      <c r="M537" s="3" t="s">
        <v>544</v>
      </c>
      <c r="N537" s="3" t="s">
        <v>338</v>
      </c>
      <c r="O537" s="3" t="s">
        <v>379</v>
      </c>
    </row>
    <row r="538" spans="4:15" ht="15">
      <c r="D538" s="4">
        <v>110</v>
      </c>
      <c r="E538" s="4">
        <v>600</v>
      </c>
      <c r="F538" s="4">
        <v>0.6</v>
      </c>
      <c r="G538" s="4">
        <v>50</v>
      </c>
      <c r="H538" s="4">
        <v>400</v>
      </c>
      <c r="I538" s="4">
        <v>0.6</v>
      </c>
      <c r="J538" s="4">
        <v>0</v>
      </c>
      <c r="K538" s="4">
        <v>200</v>
      </c>
      <c r="L538" s="4">
        <v>0.77</v>
      </c>
      <c r="M538" s="4">
        <v>0</v>
      </c>
      <c r="N538" s="4">
        <v>100</v>
      </c>
      <c r="O538" s="4">
        <v>0.91</v>
      </c>
    </row>
    <row r="539" spans="4:15" ht="15">
      <c r="D539" s="4">
        <v>200</v>
      </c>
      <c r="E539" s="4">
        <v>600</v>
      </c>
      <c r="F539" s="4">
        <v>0.73</v>
      </c>
      <c r="G539" s="4">
        <v>200</v>
      </c>
      <c r="H539" s="4">
        <v>400</v>
      </c>
      <c r="I539" s="4">
        <v>0.88</v>
      </c>
      <c r="J539" s="4">
        <v>200</v>
      </c>
      <c r="K539" s="4">
        <v>200</v>
      </c>
      <c r="L539" s="4">
        <v>1</v>
      </c>
      <c r="M539" s="4">
        <v>200</v>
      </c>
      <c r="N539" s="4">
        <v>100</v>
      </c>
      <c r="O539" s="4">
        <v>1.04</v>
      </c>
    </row>
    <row r="540" spans="4:15" ht="15">
      <c r="D540" s="4">
        <v>400</v>
      </c>
      <c r="E540" s="4">
        <v>600</v>
      </c>
      <c r="F540" s="4">
        <v>0.925</v>
      </c>
      <c r="G540" s="4">
        <v>400</v>
      </c>
      <c r="H540" s="4">
        <v>400</v>
      </c>
      <c r="I540" s="4">
        <v>1</v>
      </c>
      <c r="J540" s="4">
        <v>400</v>
      </c>
      <c r="K540" s="4">
        <v>200</v>
      </c>
      <c r="L540" s="4">
        <v>1.05</v>
      </c>
      <c r="M540" s="4">
        <v>400</v>
      </c>
      <c r="N540" s="4">
        <v>100</v>
      </c>
      <c r="O540" s="4">
        <v>1.063</v>
      </c>
    </row>
    <row r="541" spans="4:15" ht="15">
      <c r="D541" s="4">
        <v>600</v>
      </c>
      <c r="E541" s="4">
        <v>600</v>
      </c>
      <c r="F541" s="4">
        <v>1</v>
      </c>
      <c r="G541" s="4">
        <v>600</v>
      </c>
      <c r="H541" s="4">
        <v>400</v>
      </c>
      <c r="I541" s="4">
        <v>1.05</v>
      </c>
      <c r="J541" s="4">
        <v>600</v>
      </c>
      <c r="K541" s="4">
        <v>200</v>
      </c>
      <c r="L541" s="4">
        <v>1.061</v>
      </c>
      <c r="M541" s="4">
        <v>600</v>
      </c>
      <c r="N541" s="4">
        <v>100</v>
      </c>
      <c r="O541" s="4">
        <v>1.066</v>
      </c>
    </row>
    <row r="542" spans="4:15" ht="15">
      <c r="D542" s="4">
        <v>800</v>
      </c>
      <c r="E542" s="4">
        <v>600</v>
      </c>
      <c r="F542" s="4">
        <v>1.04</v>
      </c>
      <c r="G542" s="4">
        <v>800</v>
      </c>
      <c r="H542" s="4">
        <v>400</v>
      </c>
      <c r="I542" s="4">
        <v>1.06</v>
      </c>
      <c r="J542" s="4">
        <v>800</v>
      </c>
      <c r="K542" s="4">
        <v>200</v>
      </c>
      <c r="L542" s="4">
        <v>1.066</v>
      </c>
      <c r="M542" s="4">
        <v>800</v>
      </c>
      <c r="N542" s="4">
        <v>100</v>
      </c>
      <c r="O542" s="4">
        <v>1.066</v>
      </c>
    </row>
    <row r="543" spans="4:15" ht="15">
      <c r="D543" s="4">
        <v>1000</v>
      </c>
      <c r="E543" s="4">
        <v>600</v>
      </c>
      <c r="F543" s="4">
        <v>1.052</v>
      </c>
      <c r="G543" s="4">
        <v>1000</v>
      </c>
      <c r="H543" s="4">
        <v>400</v>
      </c>
      <c r="I543" s="4">
        <v>1.066</v>
      </c>
      <c r="J543" s="4">
        <v>1000</v>
      </c>
      <c r="K543" s="4">
        <v>200</v>
      </c>
      <c r="L543" s="4">
        <v>1.066</v>
      </c>
      <c r="M543" s="4">
        <v>1000</v>
      </c>
      <c r="N543" s="4">
        <v>100</v>
      </c>
      <c r="O543" s="4">
        <v>1.066</v>
      </c>
    </row>
    <row r="544" spans="4:15" ht="15">
      <c r="D544" s="4">
        <v>1200</v>
      </c>
      <c r="E544" s="4">
        <v>600</v>
      </c>
      <c r="F544" s="4">
        <v>1.066</v>
      </c>
      <c r="G544" s="4">
        <v>1200</v>
      </c>
      <c r="H544" s="4">
        <v>400</v>
      </c>
      <c r="I544" s="4">
        <v>1.066</v>
      </c>
      <c r="J544" s="4">
        <v>1200</v>
      </c>
      <c r="K544" s="4">
        <v>200</v>
      </c>
      <c r="L544" s="4">
        <v>1.066</v>
      </c>
      <c r="M544" s="4">
        <v>1200</v>
      </c>
      <c r="N544" s="4">
        <v>100</v>
      </c>
      <c r="O544" s="4">
        <v>1.066</v>
      </c>
    </row>
    <row r="545" ht="15">
      <c r="D545" s="1" t="s">
        <v>180</v>
      </c>
    </row>
    <row r="546" spans="3:4" ht="15">
      <c r="C546" s="1"/>
      <c r="D546" s="1" t="s">
        <v>478</v>
      </c>
    </row>
    <row r="547" spans="3:4" ht="15">
      <c r="C547" s="1"/>
      <c r="D547" s="1"/>
    </row>
    <row r="548" ht="15">
      <c r="D548" s="1" t="s">
        <v>181</v>
      </c>
    </row>
    <row r="549" ht="15">
      <c r="D549" s="1" t="s">
        <v>182</v>
      </c>
    </row>
    <row r="550" spans="3:5" ht="15">
      <c r="C550" s="1"/>
      <c r="E550" s="1" t="s">
        <v>41</v>
      </c>
    </row>
    <row r="551" ht="15">
      <c r="D551" s="1" t="s">
        <v>183</v>
      </c>
    </row>
    <row r="552" ht="15">
      <c r="D552" s="1" t="s">
        <v>184</v>
      </c>
    </row>
    <row r="553" spans="3:4" ht="15">
      <c r="C553" s="1"/>
      <c r="D553" s="1" t="s">
        <v>479</v>
      </c>
    </row>
    <row r="554" spans="3:4" ht="15">
      <c r="C554" s="1"/>
      <c r="D554" s="1"/>
    </row>
    <row r="555" ht="15">
      <c r="D555" s="1" t="s">
        <v>185</v>
      </c>
    </row>
    <row r="556" spans="4:10" ht="15">
      <c r="D556" s="1" t="s">
        <v>177</v>
      </c>
      <c r="J556" s="1" t="s">
        <v>408</v>
      </c>
    </row>
    <row r="557" spans="3:10" ht="15">
      <c r="C557" s="1"/>
      <c r="D557" s="1" t="s">
        <v>480</v>
      </c>
      <c r="J557" s="1"/>
    </row>
    <row r="558" ht="15">
      <c r="D558" s="1" t="s">
        <v>186</v>
      </c>
    </row>
    <row r="559" spans="3:4" ht="15">
      <c r="C559" s="1"/>
      <c r="D559" s="1" t="s">
        <v>481</v>
      </c>
    </row>
    <row r="560" spans="4:11" ht="15">
      <c r="D560" s="1" t="s">
        <v>187</v>
      </c>
      <c r="K560" s="1" t="s">
        <v>412</v>
      </c>
    </row>
    <row r="561" ht="15">
      <c r="D561" s="1" t="s">
        <v>188</v>
      </c>
    </row>
    <row r="562" spans="5:8" ht="15">
      <c r="E562" s="1" t="s">
        <v>339</v>
      </c>
      <c r="H562" s="1" t="s">
        <v>400</v>
      </c>
    </row>
    <row r="563" ht="15">
      <c r="D563" s="1" t="s">
        <v>189</v>
      </c>
    </row>
    <row r="564" ht="15">
      <c r="D564" s="1" t="s">
        <v>190</v>
      </c>
    </row>
    <row r="565" ht="15">
      <c r="E565" s="1" t="s">
        <v>340</v>
      </c>
    </row>
    <row r="566" ht="15">
      <c r="D566" s="1" t="s">
        <v>191</v>
      </c>
    </row>
    <row r="567" spans="3:4" ht="15">
      <c r="C567" s="1"/>
      <c r="D567" s="1" t="s">
        <v>53</v>
      </c>
    </row>
    <row r="568" ht="15">
      <c r="E568" s="1" t="s">
        <v>341</v>
      </c>
    </row>
    <row r="569" ht="15">
      <c r="D569" s="1" t="s">
        <v>54</v>
      </c>
    </row>
    <row r="570" ht="15">
      <c r="D570" s="1" t="s">
        <v>342</v>
      </c>
    </row>
    <row r="571" ht="15">
      <c r="D571" s="1" t="s">
        <v>319</v>
      </c>
    </row>
    <row r="572" ht="15">
      <c r="D572" s="1" t="s">
        <v>192</v>
      </c>
    </row>
    <row r="573" spans="4:5" ht="15">
      <c r="D573" s="1"/>
      <c r="E573" s="1" t="s">
        <v>320</v>
      </c>
    </row>
    <row r="574" ht="15">
      <c r="D574" s="1" t="s">
        <v>193</v>
      </c>
    </row>
    <row r="575" spans="3:4" ht="15">
      <c r="C575" s="1"/>
      <c r="D575" s="1" t="s">
        <v>55</v>
      </c>
    </row>
    <row r="576" spans="3:4" ht="15">
      <c r="C576" s="1"/>
      <c r="D576" s="1"/>
    </row>
    <row r="577" spans="3:4" ht="15">
      <c r="C577" s="1"/>
      <c r="D577" s="1" t="s">
        <v>57</v>
      </c>
    </row>
    <row r="578" ht="15">
      <c r="D578" s="1" t="s">
        <v>194</v>
      </c>
    </row>
    <row r="579" spans="3:4" ht="15">
      <c r="C579" s="1"/>
      <c r="D579" s="1" t="s">
        <v>56</v>
      </c>
    </row>
    <row r="580" spans="3:4" ht="15">
      <c r="C580" s="1"/>
      <c r="D580" s="1"/>
    </row>
    <row r="581" ht="15">
      <c r="D581" s="1" t="s">
        <v>58</v>
      </c>
    </row>
    <row r="582" ht="15">
      <c r="D582" s="1" t="s">
        <v>140</v>
      </c>
    </row>
    <row r="583" spans="3:4" ht="15">
      <c r="C583" s="1"/>
      <c r="D583" s="1" t="s">
        <v>56</v>
      </c>
    </row>
    <row r="584" ht="15">
      <c r="D584" s="1" t="s">
        <v>195</v>
      </c>
    </row>
    <row r="585" spans="3:4" ht="15">
      <c r="C585" s="2"/>
      <c r="D585" s="9" t="s">
        <v>59</v>
      </c>
    </row>
    <row r="586" spans="3:4" ht="15">
      <c r="C586" s="2"/>
      <c r="D586" s="1"/>
    </row>
    <row r="587" spans="5:9" ht="15">
      <c r="E587" s="1" t="s">
        <v>521</v>
      </c>
      <c r="F587" s="8"/>
      <c r="G587" s="8"/>
      <c r="H587" s="8"/>
      <c r="I587" s="8"/>
    </row>
    <row r="588" spans="1:4" ht="15">
      <c r="A588" s="1"/>
      <c r="B588" s="1"/>
      <c r="D588" s="1" t="s">
        <v>60</v>
      </c>
    </row>
    <row r="589" spans="1:4" ht="15">
      <c r="A589" s="1"/>
      <c r="B589" s="1"/>
      <c r="D589" s="1" t="s">
        <v>196</v>
      </c>
    </row>
    <row r="590" spans="1:4" ht="15">
      <c r="A590" s="1"/>
      <c r="B590" s="1"/>
      <c r="D590" s="1" t="s">
        <v>61</v>
      </c>
    </row>
    <row r="591" ht="15">
      <c r="D591" s="1" t="s">
        <v>197</v>
      </c>
    </row>
    <row r="592" ht="15">
      <c r="D592" s="1" t="s">
        <v>198</v>
      </c>
    </row>
    <row r="593" spans="4:10" ht="15">
      <c r="D593" t="s">
        <v>62</v>
      </c>
      <c r="J593" t="s">
        <v>409</v>
      </c>
    </row>
    <row r="594" ht="15">
      <c r="D594" t="s">
        <v>199</v>
      </c>
    </row>
    <row r="595" ht="15">
      <c r="D595" t="s">
        <v>200</v>
      </c>
    </row>
    <row r="596" ht="15">
      <c r="E596" s="1" t="s">
        <v>522</v>
      </c>
    </row>
    <row r="597" ht="15">
      <c r="D597" s="1" t="s">
        <v>201</v>
      </c>
    </row>
    <row r="598" ht="15">
      <c r="D598" s="1" t="s">
        <v>202</v>
      </c>
    </row>
    <row r="599" ht="15">
      <c r="D599" s="1" t="s">
        <v>203</v>
      </c>
    </row>
    <row r="600" spans="4:7" ht="15">
      <c r="D600" s="1" t="s">
        <v>204</v>
      </c>
      <c r="G600" s="1" t="s">
        <v>392</v>
      </c>
    </row>
    <row r="601" spans="4:7" ht="15">
      <c r="D601" s="1"/>
      <c r="G601" s="1"/>
    </row>
    <row r="602" spans="4:5" ht="15">
      <c r="D602" s="1"/>
      <c r="E602" s="1" t="s">
        <v>343</v>
      </c>
    </row>
    <row r="603" ht="15">
      <c r="E603" s="1" t="s">
        <v>328</v>
      </c>
    </row>
    <row r="604" ht="15">
      <c r="D604" s="1" t="s">
        <v>166</v>
      </c>
    </row>
    <row r="605" spans="2:8" ht="15">
      <c r="B605" s="1"/>
      <c r="C605" s="2"/>
      <c r="D605" s="1" t="s">
        <v>523</v>
      </c>
      <c r="H605" s="2" t="s">
        <v>38</v>
      </c>
    </row>
    <row r="606" ht="15">
      <c r="D606" s="1" t="s">
        <v>205</v>
      </c>
    </row>
    <row r="607" ht="15">
      <c r="D607" s="1" t="s">
        <v>168</v>
      </c>
    </row>
    <row r="608" ht="15">
      <c r="E608" s="1" t="s">
        <v>344</v>
      </c>
    </row>
    <row r="609" spans="4:10" ht="15">
      <c r="D609" s="5" t="s">
        <v>544</v>
      </c>
      <c r="E609" s="4">
        <v>0</v>
      </c>
      <c r="F609" s="4">
        <v>100</v>
      </c>
      <c r="G609" s="4">
        <v>200</v>
      </c>
      <c r="H609" s="4">
        <v>400</v>
      </c>
      <c r="I609" s="4">
        <v>600</v>
      </c>
      <c r="J609" s="4">
        <v>800</v>
      </c>
    </row>
    <row r="610" spans="4:10" ht="15">
      <c r="D610" s="5" t="s">
        <v>206</v>
      </c>
      <c r="E610" s="4">
        <v>1.17</v>
      </c>
      <c r="F610" s="4">
        <v>1.057</v>
      </c>
      <c r="G610" s="4">
        <v>0.975</v>
      </c>
      <c r="H610" s="4">
        <v>0.875</v>
      </c>
      <c r="I610" s="4">
        <v>0.816</v>
      </c>
      <c r="J610" s="4">
        <v>0.77</v>
      </c>
    </row>
    <row r="611" ht="15">
      <c r="D611" s="1" t="s">
        <v>207</v>
      </c>
    </row>
    <row r="612" ht="15">
      <c r="E612" s="1" t="s">
        <v>345</v>
      </c>
    </row>
    <row r="613" spans="4:14" ht="15">
      <c r="D613" s="3" t="s">
        <v>544</v>
      </c>
      <c r="E613" s="3" t="s">
        <v>102</v>
      </c>
      <c r="F613" s="3" t="s">
        <v>206</v>
      </c>
      <c r="G613" s="3" t="s">
        <v>102</v>
      </c>
      <c r="H613" s="3" t="s">
        <v>206</v>
      </c>
      <c r="I613" s="3" t="s">
        <v>102</v>
      </c>
      <c r="J613" s="3" t="s">
        <v>206</v>
      </c>
      <c r="K613" s="3" t="s">
        <v>102</v>
      </c>
      <c r="L613" s="3" t="s">
        <v>206</v>
      </c>
      <c r="M613" s="3" t="s">
        <v>102</v>
      </c>
      <c r="N613" s="3" t="s">
        <v>206</v>
      </c>
    </row>
    <row r="614" spans="4:14" ht="15">
      <c r="D614" s="4">
        <v>120</v>
      </c>
      <c r="E614" s="4">
        <v>0.02</v>
      </c>
      <c r="F614" s="4">
        <v>1.05</v>
      </c>
      <c r="G614" s="4">
        <v>0.05</v>
      </c>
      <c r="H614" s="4">
        <v>1.063</v>
      </c>
      <c r="I614" s="4">
        <v>0.1</v>
      </c>
      <c r="J614" s="4">
        <v>1.087</v>
      </c>
      <c r="K614" s="4">
        <v>0.2</v>
      </c>
      <c r="L614" s="4">
        <v>1.121</v>
      </c>
      <c r="M614" s="4">
        <v>0.3</v>
      </c>
      <c r="N614" s="4">
        <v>1.168</v>
      </c>
    </row>
    <row r="615" spans="4:14" ht="15">
      <c r="D615" s="4">
        <v>200</v>
      </c>
      <c r="E615" s="4">
        <v>0.02</v>
      </c>
      <c r="F615" s="4">
        <v>1.02</v>
      </c>
      <c r="G615" s="4">
        <v>0.05</v>
      </c>
      <c r="H615" s="4">
        <v>1.038</v>
      </c>
      <c r="I615" s="4">
        <v>0.1</v>
      </c>
      <c r="J615" s="4">
        <v>1.065</v>
      </c>
      <c r="K615" s="4">
        <v>0.2</v>
      </c>
      <c r="L615" s="4">
        <v>1.103</v>
      </c>
      <c r="M615" s="4">
        <v>0.3</v>
      </c>
      <c r="N615" s="4">
        <v>1.152</v>
      </c>
    </row>
    <row r="616" spans="4:14" ht="15">
      <c r="D616" s="4">
        <v>400</v>
      </c>
      <c r="E616" s="4">
        <v>0.02</v>
      </c>
      <c r="F616" s="4">
        <v>0.973</v>
      </c>
      <c r="G616" s="4">
        <v>0.05</v>
      </c>
      <c r="H616" s="4">
        <v>0.994</v>
      </c>
      <c r="I616" s="4">
        <v>0.1</v>
      </c>
      <c r="J616" s="4">
        <v>1.03</v>
      </c>
      <c r="K616" s="4">
        <v>0.2</v>
      </c>
      <c r="L616" s="4">
        <v>1.067</v>
      </c>
      <c r="M616" s="4">
        <v>0.3</v>
      </c>
      <c r="N616" s="4">
        <v>1.12</v>
      </c>
    </row>
    <row r="617" spans="4:14" ht="15">
      <c r="D617" s="4">
        <v>600</v>
      </c>
      <c r="E617" s="4">
        <v>0.02</v>
      </c>
      <c r="F617" s="4">
        <v>0.942</v>
      </c>
      <c r="G617" s="4">
        <v>0.05</v>
      </c>
      <c r="H617" s="4">
        <v>0.966</v>
      </c>
      <c r="I617" s="4">
        <v>0.1</v>
      </c>
      <c r="J617" s="4">
        <v>1.007</v>
      </c>
      <c r="K617" s="4">
        <v>0.2</v>
      </c>
      <c r="L617" s="4">
        <v>1.048</v>
      </c>
      <c r="M617" s="4">
        <v>0.3</v>
      </c>
      <c r="N617" s="4">
        <v>1.099</v>
      </c>
    </row>
    <row r="618" spans="4:14" ht="15">
      <c r="D618" s="4">
        <v>800</v>
      </c>
      <c r="E618" s="4">
        <v>0.02</v>
      </c>
      <c r="F618" s="4">
        <v>0.92</v>
      </c>
      <c r="G618" s="4">
        <v>0.05</v>
      </c>
      <c r="H618" s="4">
        <v>0.948</v>
      </c>
      <c r="I618" s="4">
        <v>0.1</v>
      </c>
      <c r="J618" s="4">
        <v>0.99</v>
      </c>
      <c r="K618" s="4">
        <v>0.2</v>
      </c>
      <c r="L618" s="4">
        <v>1.039</v>
      </c>
      <c r="M618" s="4">
        <v>0.3</v>
      </c>
      <c r="N618" s="4">
        <v>1.088</v>
      </c>
    </row>
    <row r="619" spans="4:14" ht="15">
      <c r="D619" s="4">
        <v>1200</v>
      </c>
      <c r="E619" s="4">
        <v>0.02</v>
      </c>
      <c r="F619" s="4">
        <v>0.894</v>
      </c>
      <c r="G619" s="4">
        <v>0.05</v>
      </c>
      <c r="H619" s="4">
        <v>0.928</v>
      </c>
      <c r="I619" s="4">
        <v>0.1</v>
      </c>
      <c r="J619" s="4">
        <v>0.98</v>
      </c>
      <c r="K619" s="4">
        <v>0.2</v>
      </c>
      <c r="L619" s="4">
        <v>1.033</v>
      </c>
      <c r="M619" s="4">
        <v>0.3</v>
      </c>
      <c r="N619" s="4">
        <v>1.078</v>
      </c>
    </row>
    <row r="620" spans="4:14" ht="15">
      <c r="D620" s="4">
        <v>1600</v>
      </c>
      <c r="E620" s="4">
        <v>0.02</v>
      </c>
      <c r="F620" s="4">
        <v>0.894</v>
      </c>
      <c r="G620" s="4">
        <v>0.05</v>
      </c>
      <c r="H620" s="4">
        <v>0.941</v>
      </c>
      <c r="I620" s="4">
        <v>0.1</v>
      </c>
      <c r="J620" s="4">
        <v>0.988</v>
      </c>
      <c r="K620" s="4">
        <v>0.2</v>
      </c>
      <c r="L620" s="4">
        <v>1.041</v>
      </c>
      <c r="M620" s="4">
        <v>0.3</v>
      </c>
      <c r="N620" s="4">
        <v>1.079</v>
      </c>
    </row>
    <row r="621" ht="15">
      <c r="D621" s="1" t="s">
        <v>208</v>
      </c>
    </row>
    <row r="622" spans="4:12" ht="15">
      <c r="D622" s="3" t="s">
        <v>209</v>
      </c>
      <c r="E622" s="3" t="s">
        <v>545</v>
      </c>
      <c r="F622" s="3" t="s">
        <v>380</v>
      </c>
      <c r="G622" s="3" t="s">
        <v>209</v>
      </c>
      <c r="H622" s="3" t="s">
        <v>545</v>
      </c>
      <c r="I622" s="3" t="s">
        <v>380</v>
      </c>
      <c r="J622" s="3" t="s">
        <v>209</v>
      </c>
      <c r="K622" s="3" t="s">
        <v>545</v>
      </c>
      <c r="L622" s="3" t="s">
        <v>380</v>
      </c>
    </row>
    <row r="623" spans="4:12" ht="15">
      <c r="D623" s="4">
        <v>2.2</v>
      </c>
      <c r="E623" s="4">
        <v>0.12</v>
      </c>
      <c r="F623" s="4">
        <v>15</v>
      </c>
      <c r="J623" s="4">
        <v>2</v>
      </c>
      <c r="K623" s="4">
        <v>0.01</v>
      </c>
      <c r="L623" s="4">
        <v>35.5</v>
      </c>
    </row>
    <row r="624" spans="4:12" ht="15">
      <c r="D624" s="4">
        <v>4</v>
      </c>
      <c r="E624" s="4">
        <v>0.12</v>
      </c>
      <c r="F624" s="4">
        <v>22</v>
      </c>
      <c r="G624" s="4">
        <v>4</v>
      </c>
      <c r="H624" s="4">
        <v>0.051</v>
      </c>
      <c r="I624" s="4">
        <v>30.04</v>
      </c>
      <c r="J624" s="4">
        <v>4</v>
      </c>
      <c r="K624" s="4">
        <v>0.01</v>
      </c>
      <c r="L624" s="4">
        <v>54</v>
      </c>
    </row>
    <row r="625" spans="4:12" ht="15">
      <c r="D625" s="4">
        <v>6</v>
      </c>
      <c r="E625" s="4">
        <v>0.12</v>
      </c>
      <c r="F625" s="4">
        <v>28.7</v>
      </c>
      <c r="G625" s="4">
        <v>6</v>
      </c>
      <c r="H625" s="4">
        <v>0.051</v>
      </c>
      <c r="I625" s="4">
        <v>39</v>
      </c>
      <c r="J625" s="4">
        <v>6</v>
      </c>
      <c r="K625" s="4">
        <v>0.01</v>
      </c>
      <c r="L625" s="4">
        <v>69.7</v>
      </c>
    </row>
    <row r="626" spans="4:12" ht="15">
      <c r="D626" s="4">
        <v>8</v>
      </c>
      <c r="E626" s="4">
        <v>0.12</v>
      </c>
      <c r="F626" s="4">
        <v>34.4</v>
      </c>
      <c r="G626" s="4">
        <v>8</v>
      </c>
      <c r="H626" s="4">
        <v>0.051</v>
      </c>
      <c r="I626" s="4">
        <v>46.7</v>
      </c>
      <c r="J626" s="4">
        <v>8</v>
      </c>
      <c r="K626" s="4">
        <v>0.01</v>
      </c>
      <c r="L626" s="4">
        <v>84.5</v>
      </c>
    </row>
    <row r="627" spans="4:12" ht="15">
      <c r="D627" s="4">
        <v>11</v>
      </c>
      <c r="E627" s="4">
        <v>0.12</v>
      </c>
      <c r="F627" s="4">
        <v>42.4</v>
      </c>
      <c r="G627" s="4">
        <v>10</v>
      </c>
      <c r="H627" s="4">
        <v>0.051</v>
      </c>
      <c r="I627" s="4">
        <v>53.8</v>
      </c>
      <c r="J627" s="4">
        <v>10</v>
      </c>
      <c r="K627" s="4">
        <v>0.01</v>
      </c>
      <c r="L627" s="4">
        <v>97.5</v>
      </c>
    </row>
    <row r="628" spans="4:9" ht="15">
      <c r="D628" s="4">
        <v>14.25</v>
      </c>
      <c r="E628" s="4">
        <v>0.12</v>
      </c>
      <c r="F628" s="4">
        <v>50</v>
      </c>
      <c r="G628" s="4">
        <v>12</v>
      </c>
      <c r="H628" s="4">
        <v>0.051</v>
      </c>
      <c r="I628" s="4">
        <v>60.7</v>
      </c>
    </row>
    <row r="629" spans="4:9" ht="15">
      <c r="D629" s="4">
        <v>16</v>
      </c>
      <c r="E629" s="4">
        <v>0.12</v>
      </c>
      <c r="F629" s="4">
        <v>53.7</v>
      </c>
      <c r="G629" s="4">
        <v>15</v>
      </c>
      <c r="H629" s="4">
        <v>0.051</v>
      </c>
      <c r="I629" s="4">
        <v>70</v>
      </c>
    </row>
    <row r="630" spans="4:9" ht="15">
      <c r="D630" s="4">
        <v>18</v>
      </c>
      <c r="E630" s="4">
        <v>0.12</v>
      </c>
      <c r="F630" s="4">
        <v>58</v>
      </c>
      <c r="G630" s="4">
        <v>18</v>
      </c>
      <c r="H630" s="4">
        <v>0.051</v>
      </c>
      <c r="I630" s="4">
        <v>79</v>
      </c>
    </row>
    <row r="631" ht="15">
      <c r="D631" s="1" t="s">
        <v>210</v>
      </c>
    </row>
    <row r="632" ht="15">
      <c r="D632" s="2" t="s">
        <v>42</v>
      </c>
    </row>
    <row r="633" ht="15">
      <c r="D633" s="1" t="s">
        <v>211</v>
      </c>
    </row>
    <row r="634" spans="3:4" ht="15">
      <c r="C634" s="8"/>
      <c r="D634" s="1" t="s">
        <v>205</v>
      </c>
    </row>
    <row r="635" spans="3:4" ht="15">
      <c r="C635" s="8"/>
      <c r="D635" s="1" t="s">
        <v>168</v>
      </c>
    </row>
    <row r="636" spans="3:4" ht="15">
      <c r="C636" s="8"/>
      <c r="D636" s="1" t="s">
        <v>212</v>
      </c>
    </row>
    <row r="637" spans="3:4" ht="15">
      <c r="C637" s="8"/>
      <c r="D637" s="1" t="s">
        <v>63</v>
      </c>
    </row>
    <row r="638" spans="3:4" ht="15">
      <c r="C638" s="8"/>
      <c r="D638" s="1" t="s">
        <v>213</v>
      </c>
    </row>
    <row r="639" spans="3:4" ht="15">
      <c r="C639" s="8"/>
      <c r="D639" s="1" t="s">
        <v>64</v>
      </c>
    </row>
    <row r="640" spans="3:4" ht="15">
      <c r="C640" s="8"/>
      <c r="D640" s="1" t="s">
        <v>210</v>
      </c>
    </row>
    <row r="642" ht="15">
      <c r="D642" s="1" t="s">
        <v>169</v>
      </c>
    </row>
    <row r="643" spans="3:5" ht="15">
      <c r="C643" s="1"/>
      <c r="D643" s="1"/>
      <c r="E643" s="1" t="s">
        <v>43</v>
      </c>
    </row>
    <row r="644" ht="15">
      <c r="D644" s="1" t="s">
        <v>214</v>
      </c>
    </row>
    <row r="645" ht="15">
      <c r="D645" s="1" t="s">
        <v>173</v>
      </c>
    </row>
    <row r="646" ht="15">
      <c r="E646" s="1" t="s">
        <v>344</v>
      </c>
    </row>
    <row r="647" spans="4:9" ht="15">
      <c r="D647" s="5" t="s">
        <v>544</v>
      </c>
      <c r="E647" s="4">
        <v>0</v>
      </c>
      <c r="F647" s="4">
        <v>100</v>
      </c>
      <c r="G647" s="4">
        <v>200</v>
      </c>
      <c r="H647" s="4">
        <v>400</v>
      </c>
      <c r="I647" s="4">
        <v>600</v>
      </c>
    </row>
    <row r="648" spans="4:9" ht="15">
      <c r="D648" s="5" t="s">
        <v>206</v>
      </c>
      <c r="E648" s="4">
        <v>1.06</v>
      </c>
      <c r="F648" s="4">
        <v>0.972</v>
      </c>
      <c r="G648" s="4">
        <v>0.92</v>
      </c>
      <c r="H648" s="4">
        <v>0.852</v>
      </c>
      <c r="I648" s="4">
        <v>0.8</v>
      </c>
    </row>
    <row r="649" ht="15">
      <c r="D649" s="1" t="s">
        <v>215</v>
      </c>
    </row>
    <row r="650" ht="15">
      <c r="E650" s="1" t="s">
        <v>345</v>
      </c>
    </row>
    <row r="651" spans="4:14" ht="15">
      <c r="D651" s="3" t="s">
        <v>544</v>
      </c>
      <c r="E651" s="3" t="s">
        <v>102</v>
      </c>
      <c r="F651" s="3" t="s">
        <v>206</v>
      </c>
      <c r="G651" s="3" t="s">
        <v>102</v>
      </c>
      <c r="H651" s="3" t="s">
        <v>206</v>
      </c>
      <c r="I651" s="3" t="s">
        <v>102</v>
      </c>
      <c r="J651" s="3" t="s">
        <v>206</v>
      </c>
      <c r="K651" s="3" t="s">
        <v>102</v>
      </c>
      <c r="L651" s="3" t="s">
        <v>206</v>
      </c>
      <c r="M651" s="3" t="s">
        <v>102</v>
      </c>
      <c r="N651" s="3" t="s">
        <v>206</v>
      </c>
    </row>
    <row r="652" spans="4:14" ht="15">
      <c r="D652" s="4">
        <v>120</v>
      </c>
      <c r="E652" s="4">
        <v>0.02</v>
      </c>
      <c r="F652" s="4">
        <v>0.982</v>
      </c>
      <c r="G652" s="4">
        <v>0.05</v>
      </c>
      <c r="H652" s="4">
        <v>0.995</v>
      </c>
      <c r="I652" s="4">
        <v>0.1</v>
      </c>
      <c r="J652" s="4">
        <v>1.013</v>
      </c>
      <c r="K652" s="4">
        <v>0.2</v>
      </c>
      <c r="L652" s="4">
        <v>1.041</v>
      </c>
      <c r="M652" s="4">
        <v>0.3</v>
      </c>
      <c r="N652" s="4">
        <v>1.098</v>
      </c>
    </row>
    <row r="653" spans="4:14" ht="15">
      <c r="D653" s="4">
        <v>200</v>
      </c>
      <c r="E653" s="4">
        <v>0.02</v>
      </c>
      <c r="F653" s="4">
        <v>0.968</v>
      </c>
      <c r="G653" s="4">
        <v>0.05</v>
      </c>
      <c r="H653" s="4">
        <v>0.98</v>
      </c>
      <c r="I653" s="4">
        <v>0.1</v>
      </c>
      <c r="J653" s="4">
        <v>1.008</v>
      </c>
      <c r="K653" s="4">
        <v>0.2</v>
      </c>
      <c r="L653" s="4">
        <v>1.04</v>
      </c>
      <c r="M653" s="4">
        <v>0.3</v>
      </c>
      <c r="N653" s="4">
        <v>1.093</v>
      </c>
    </row>
    <row r="654" spans="4:14" ht="15">
      <c r="D654" s="4">
        <v>400</v>
      </c>
      <c r="E654" s="4">
        <v>0.02</v>
      </c>
      <c r="F654" s="4">
        <v>0.944</v>
      </c>
      <c r="G654" s="4">
        <v>0.05</v>
      </c>
      <c r="H654" s="4">
        <v>0.96</v>
      </c>
      <c r="I654" s="4">
        <v>0.1</v>
      </c>
      <c r="J654" s="4">
        <v>1</v>
      </c>
      <c r="K654" s="4">
        <v>0.2</v>
      </c>
      <c r="L654" s="4">
        <v>1.0397</v>
      </c>
      <c r="M654" s="4">
        <v>0.3</v>
      </c>
      <c r="N654" s="4">
        <v>1.084</v>
      </c>
    </row>
    <row r="655" spans="4:14" ht="15">
      <c r="D655" s="4">
        <v>600</v>
      </c>
      <c r="E655" s="4">
        <v>0.02</v>
      </c>
      <c r="F655" s="4">
        <v>0.927</v>
      </c>
      <c r="G655" s="4">
        <v>0.05</v>
      </c>
      <c r="H655" s="4">
        <v>0.951</v>
      </c>
      <c r="I655" s="4">
        <v>0.1</v>
      </c>
      <c r="J655" s="4">
        <v>0.994</v>
      </c>
      <c r="K655" s="4">
        <v>0.2</v>
      </c>
      <c r="L655" s="4">
        <v>1.04</v>
      </c>
      <c r="M655" s="4">
        <v>0.3</v>
      </c>
      <c r="N655" s="4">
        <v>1.0805</v>
      </c>
    </row>
    <row r="656" spans="4:14" ht="15">
      <c r="D656" s="4">
        <v>800</v>
      </c>
      <c r="E656" s="4">
        <v>0.02</v>
      </c>
      <c r="F656" s="4">
        <v>0.914</v>
      </c>
      <c r="G656" s="4">
        <v>0.05</v>
      </c>
      <c r="H656" s="4">
        <v>0.945</v>
      </c>
      <c r="I656" s="4">
        <v>0.1</v>
      </c>
      <c r="J656" s="4">
        <v>0.993</v>
      </c>
      <c r="K656" s="4">
        <v>0.2</v>
      </c>
      <c r="L656" s="4">
        <v>1.0415</v>
      </c>
      <c r="M656" s="4">
        <v>0.3</v>
      </c>
      <c r="N656" s="4">
        <v>1.085</v>
      </c>
    </row>
    <row r="657" spans="4:14" ht="15">
      <c r="D657" s="4">
        <v>1200</v>
      </c>
      <c r="E657" s="4">
        <v>0.02</v>
      </c>
      <c r="F657" s="4">
        <v>0.9075</v>
      </c>
      <c r="G657" s="4">
        <v>0.05</v>
      </c>
      <c r="H657" s="4">
        <v>0.949</v>
      </c>
      <c r="I657" s="4">
        <v>0.1</v>
      </c>
      <c r="J657" s="4">
        <v>1</v>
      </c>
      <c r="K657" s="4">
        <v>0.2</v>
      </c>
      <c r="L657" s="4">
        <v>1.057</v>
      </c>
      <c r="M657" s="4">
        <v>0.3</v>
      </c>
      <c r="N657" s="4">
        <v>1.1</v>
      </c>
    </row>
    <row r="658" spans="4:14" ht="15">
      <c r="D658" s="4">
        <v>1600</v>
      </c>
      <c r="E658" s="4">
        <v>0.02</v>
      </c>
      <c r="F658" s="4">
        <v>0.9205</v>
      </c>
      <c r="G658" s="4">
        <v>0.05</v>
      </c>
      <c r="H658" s="4">
        <v>0.982</v>
      </c>
      <c r="I658" s="4">
        <v>0.1</v>
      </c>
      <c r="J658" s="4">
        <v>1.023</v>
      </c>
      <c r="K658" s="4">
        <v>0.2</v>
      </c>
      <c r="L658" s="4">
        <v>1.088</v>
      </c>
      <c r="M658" s="4">
        <v>0.3</v>
      </c>
      <c r="N658" s="4">
        <v>1.123</v>
      </c>
    </row>
    <row r="659" ht="15">
      <c r="D659" s="1" t="s">
        <v>216</v>
      </c>
    </row>
    <row r="660" ht="15">
      <c r="D660" s="1"/>
    </row>
    <row r="661" spans="4:5" ht="15">
      <c r="D661" s="1"/>
      <c r="E661" t="s">
        <v>65</v>
      </c>
    </row>
    <row r="662" spans="4:5" ht="15">
      <c r="D662" s="1"/>
      <c r="E662" s="1" t="s">
        <v>44</v>
      </c>
    </row>
    <row r="663" spans="4:14" ht="15">
      <c r="D663" s="3" t="s">
        <v>217</v>
      </c>
      <c r="E663" s="3" t="s">
        <v>346</v>
      </c>
      <c r="F663" s="3" t="s">
        <v>381</v>
      </c>
      <c r="G663" s="3" t="s">
        <v>346</v>
      </c>
      <c r="H663" s="3" t="s">
        <v>381</v>
      </c>
      <c r="I663" s="3" t="s">
        <v>346</v>
      </c>
      <c r="J663" s="3" t="s">
        <v>381</v>
      </c>
      <c r="K663" s="3" t="s">
        <v>346</v>
      </c>
      <c r="L663" s="3" t="s">
        <v>381</v>
      </c>
      <c r="M663" s="3" t="s">
        <v>346</v>
      </c>
      <c r="N663" s="3" t="s">
        <v>381</v>
      </c>
    </row>
    <row r="664" spans="4:13" ht="15">
      <c r="D664" s="4">
        <v>1.2</v>
      </c>
      <c r="E664" s="4">
        <v>1.1</v>
      </c>
      <c r="F664" s="4">
        <v>1.05</v>
      </c>
      <c r="G664" s="4">
        <v>1.2</v>
      </c>
      <c r="I664" s="4">
        <v>1.4</v>
      </c>
      <c r="K664" s="4">
        <v>1.8</v>
      </c>
      <c r="M664" s="4">
        <v>2.5</v>
      </c>
    </row>
    <row r="665" spans="3:13" ht="15">
      <c r="C665" s="1"/>
      <c r="D665" s="4">
        <v>1.4</v>
      </c>
      <c r="E665" s="4">
        <v>1.1</v>
      </c>
      <c r="F665" s="4">
        <v>1.167</v>
      </c>
      <c r="G665" s="4">
        <v>1.2</v>
      </c>
      <c r="H665" s="4">
        <v>1.098</v>
      </c>
      <c r="I665" s="4">
        <v>1.4</v>
      </c>
      <c r="J665" s="6">
        <v>0.994</v>
      </c>
      <c r="K665" s="4">
        <v>1.8</v>
      </c>
      <c r="M665" s="4">
        <v>2.5</v>
      </c>
    </row>
    <row r="666" spans="4:13" ht="15">
      <c r="D666" s="4">
        <v>1.7</v>
      </c>
      <c r="E666" s="4">
        <v>1.1</v>
      </c>
      <c r="F666" s="4">
        <v>1.26</v>
      </c>
      <c r="G666" s="4">
        <v>1.2</v>
      </c>
      <c r="H666" s="4">
        <v>1.209</v>
      </c>
      <c r="I666" s="4">
        <v>1.4</v>
      </c>
      <c r="J666" s="4">
        <v>1.113</v>
      </c>
      <c r="K666" s="4">
        <v>1.8</v>
      </c>
      <c r="L666" s="4">
        <v>1.001</v>
      </c>
      <c r="M666" s="4">
        <v>2.5</v>
      </c>
    </row>
    <row r="667" spans="4:13" ht="15">
      <c r="D667" s="4">
        <v>2</v>
      </c>
      <c r="E667" s="4">
        <v>1.1</v>
      </c>
      <c r="F667" s="4">
        <v>1.308</v>
      </c>
      <c r="G667" s="4">
        <v>1.2</v>
      </c>
      <c r="H667" s="4">
        <v>1.26</v>
      </c>
      <c r="I667" s="4">
        <v>1.4</v>
      </c>
      <c r="J667" s="4">
        <v>1.187</v>
      </c>
      <c r="K667" s="4">
        <v>1.8</v>
      </c>
      <c r="L667" s="4">
        <v>1.073</v>
      </c>
      <c r="M667" s="4">
        <v>2.5</v>
      </c>
    </row>
    <row r="668" spans="4:14" ht="15">
      <c r="D668" s="4">
        <v>2.5</v>
      </c>
      <c r="E668" s="4">
        <v>1.1</v>
      </c>
      <c r="F668" s="4">
        <v>1.338</v>
      </c>
      <c r="G668" s="4">
        <v>1.2</v>
      </c>
      <c r="H668" s="4">
        <v>1.3</v>
      </c>
      <c r="I668" s="4">
        <v>1.4</v>
      </c>
      <c r="J668" s="4">
        <v>1.246</v>
      </c>
      <c r="K668" s="4">
        <v>1.8</v>
      </c>
      <c r="L668" s="4">
        <v>1.159</v>
      </c>
      <c r="M668" s="4">
        <v>2.5</v>
      </c>
      <c r="N668" s="4">
        <v>1.047</v>
      </c>
    </row>
    <row r="669" spans="4:14" ht="15">
      <c r="D669" s="4">
        <v>3</v>
      </c>
      <c r="E669" s="4">
        <v>1.1</v>
      </c>
      <c r="F669" s="4">
        <v>1.35</v>
      </c>
      <c r="G669" s="4">
        <v>1.2</v>
      </c>
      <c r="H669" s="4">
        <v>1.319</v>
      </c>
      <c r="I669" s="4">
        <v>1.4</v>
      </c>
      <c r="J669" s="4">
        <v>1.278</v>
      </c>
      <c r="K669" s="4">
        <v>1.8</v>
      </c>
      <c r="L669" s="4">
        <v>1.206</v>
      </c>
      <c r="M669" s="4">
        <v>2.5</v>
      </c>
      <c r="N669" s="4">
        <v>1.105</v>
      </c>
    </row>
    <row r="670" spans="4:14" ht="15">
      <c r="D670" s="4">
        <v>3.5</v>
      </c>
      <c r="E670" s="4">
        <v>1.1</v>
      </c>
      <c r="F670" s="4">
        <v>1.358</v>
      </c>
      <c r="G670" s="4">
        <v>1.2</v>
      </c>
      <c r="H670" s="4">
        <v>1.328</v>
      </c>
      <c r="I670" s="4">
        <v>1.4</v>
      </c>
      <c r="J670" s="4">
        <v>1.3</v>
      </c>
      <c r="K670" s="4">
        <v>1.8</v>
      </c>
      <c r="L670" s="4">
        <v>1.24</v>
      </c>
      <c r="M670" s="4">
        <v>2.5</v>
      </c>
      <c r="N670" s="4">
        <v>1.15</v>
      </c>
    </row>
    <row r="671" spans="4:14" ht="15">
      <c r="D671" s="4">
        <v>4</v>
      </c>
      <c r="E671" s="4">
        <v>1.1</v>
      </c>
      <c r="F671" s="4">
        <v>1.36</v>
      </c>
      <c r="G671" s="4">
        <v>1.2</v>
      </c>
      <c r="H671" s="4">
        <v>1.334</v>
      </c>
      <c r="I671" s="4">
        <v>1.4</v>
      </c>
      <c r="J671" s="4">
        <v>1.314</v>
      </c>
      <c r="K671" s="4">
        <v>1.8</v>
      </c>
      <c r="L671" s="4">
        <v>1.26</v>
      </c>
      <c r="M671" s="4">
        <v>2.5</v>
      </c>
      <c r="N671" s="4">
        <v>1.183</v>
      </c>
    </row>
    <row r="672" spans="4:14" ht="15">
      <c r="D672" s="4">
        <v>5</v>
      </c>
      <c r="E672" s="4">
        <v>1.1</v>
      </c>
      <c r="F672" s="4">
        <v>1.356</v>
      </c>
      <c r="G672" s="4">
        <v>1.2</v>
      </c>
      <c r="H672" s="4">
        <v>1.3355</v>
      </c>
      <c r="I672" s="4">
        <v>1.4</v>
      </c>
      <c r="J672" s="4">
        <v>1.318</v>
      </c>
      <c r="K672" s="4">
        <v>1.8</v>
      </c>
      <c r="L672" s="4">
        <v>1.28</v>
      </c>
      <c r="M672" s="4">
        <v>2.5</v>
      </c>
      <c r="N672" s="4">
        <v>1.22</v>
      </c>
    </row>
    <row r="673" spans="4:14" ht="15">
      <c r="D673" s="4">
        <v>6</v>
      </c>
      <c r="E673" s="4">
        <v>1.1</v>
      </c>
      <c r="F673" s="4">
        <v>1.351</v>
      </c>
      <c r="G673" s="4">
        <v>1.2</v>
      </c>
      <c r="H673" s="4">
        <v>1.336</v>
      </c>
      <c r="I673" s="4">
        <v>1.4</v>
      </c>
      <c r="J673" s="4">
        <v>1.32</v>
      </c>
      <c r="K673" s="4">
        <v>1.8</v>
      </c>
      <c r="L673" s="4">
        <v>1.294</v>
      </c>
      <c r="M673" s="4">
        <v>2.5</v>
      </c>
      <c r="N673" s="4">
        <v>1.243</v>
      </c>
    </row>
    <row r="674" spans="4:14" ht="15">
      <c r="D674" s="4">
        <v>7</v>
      </c>
      <c r="E674" s="4">
        <v>1.1</v>
      </c>
      <c r="F674" s="4">
        <v>1.346</v>
      </c>
      <c r="G674" s="4">
        <v>1.2</v>
      </c>
      <c r="H674" s="4">
        <v>1.335</v>
      </c>
      <c r="I674" s="4">
        <v>1.4</v>
      </c>
      <c r="J674" s="4">
        <v>1.324</v>
      </c>
      <c r="K674" s="4">
        <v>1.8</v>
      </c>
      <c r="L674" s="4">
        <v>1.3</v>
      </c>
      <c r="M674" s="4">
        <v>2.5</v>
      </c>
      <c r="N674" s="4">
        <v>1.261</v>
      </c>
    </row>
    <row r="675" spans="4:14" ht="15">
      <c r="D675" s="4">
        <v>8</v>
      </c>
      <c r="E675" s="4">
        <v>1.1</v>
      </c>
      <c r="F675" s="4">
        <v>1.341</v>
      </c>
      <c r="G675" s="4">
        <v>1.2</v>
      </c>
      <c r="H675" s="4">
        <v>1.333</v>
      </c>
      <c r="I675" s="4">
        <v>1.4</v>
      </c>
      <c r="J675" s="4">
        <v>1.326</v>
      </c>
      <c r="K675" s="4">
        <v>1.8</v>
      </c>
      <c r="L675" s="4">
        <v>1.306</v>
      </c>
      <c r="M675" s="4">
        <v>2.5</v>
      </c>
      <c r="N675" s="4">
        <v>1.278</v>
      </c>
    </row>
    <row r="676" spans="4:24" ht="15">
      <c r="D676" s="3" t="s">
        <v>217</v>
      </c>
      <c r="E676" s="3" t="s">
        <v>346</v>
      </c>
      <c r="F676" s="3" t="s">
        <v>381</v>
      </c>
      <c r="G676" s="3" t="s">
        <v>346</v>
      </c>
      <c r="H676" s="3" t="s">
        <v>381</v>
      </c>
      <c r="I676" s="3" t="s">
        <v>346</v>
      </c>
      <c r="J676" s="3" t="s">
        <v>381</v>
      </c>
      <c r="K676" s="3" t="s">
        <v>346</v>
      </c>
      <c r="L676" s="3" t="s">
        <v>381</v>
      </c>
      <c r="M676" s="3" t="s">
        <v>346</v>
      </c>
      <c r="N676" s="3" t="s">
        <v>381</v>
      </c>
      <c r="O676" s="4"/>
      <c r="P676" s="4"/>
      <c r="Q676" s="4"/>
      <c r="R676" s="4"/>
      <c r="S676" s="4"/>
      <c r="T676" s="4"/>
      <c r="U676" s="4"/>
      <c r="V676" s="4"/>
      <c r="W676" s="4"/>
      <c r="X676" s="4"/>
    </row>
    <row r="677" spans="4:24" ht="15">
      <c r="D677" s="4">
        <v>1.2</v>
      </c>
      <c r="E677" s="4">
        <v>3</v>
      </c>
      <c r="G677" s="4">
        <v>3.5</v>
      </c>
      <c r="I677" s="4">
        <v>4</v>
      </c>
      <c r="K677" s="4">
        <v>5</v>
      </c>
      <c r="M677" s="4">
        <v>6</v>
      </c>
      <c r="O677" s="4"/>
      <c r="P677" s="4"/>
      <c r="Q677" s="4"/>
      <c r="R677" s="4"/>
      <c r="S677" s="4"/>
      <c r="T677" s="4"/>
      <c r="U677" s="4"/>
      <c r="V677" s="4"/>
      <c r="W677" s="4"/>
      <c r="X677" s="4"/>
    </row>
    <row r="678" spans="4:24" ht="15">
      <c r="D678" s="4">
        <v>1.4</v>
      </c>
      <c r="E678" s="4">
        <v>3</v>
      </c>
      <c r="G678" s="4">
        <v>3.5</v>
      </c>
      <c r="I678" s="4">
        <v>4</v>
      </c>
      <c r="K678" s="4">
        <v>5</v>
      </c>
      <c r="M678" s="4">
        <v>6</v>
      </c>
      <c r="O678" s="4"/>
      <c r="P678" s="4"/>
      <c r="Q678" s="4"/>
      <c r="R678" s="4"/>
      <c r="S678" s="4"/>
      <c r="T678" s="4"/>
      <c r="U678" s="4"/>
      <c r="V678" s="4"/>
      <c r="W678" s="4"/>
      <c r="X678" s="4"/>
    </row>
    <row r="679" spans="4:24" ht="15">
      <c r="D679" s="4">
        <v>1.7</v>
      </c>
      <c r="E679" s="4">
        <v>3</v>
      </c>
      <c r="G679" s="4">
        <v>3.5</v>
      </c>
      <c r="I679" s="4">
        <v>4</v>
      </c>
      <c r="K679" s="4">
        <v>5</v>
      </c>
      <c r="M679" s="4">
        <v>6</v>
      </c>
      <c r="O679" s="4"/>
      <c r="P679" s="4"/>
      <c r="Q679" s="4"/>
      <c r="R679" s="4"/>
      <c r="S679" s="4"/>
      <c r="T679" s="4"/>
      <c r="U679" s="4"/>
      <c r="V679" s="4"/>
      <c r="W679" s="4"/>
      <c r="X679" s="4"/>
    </row>
    <row r="680" spans="4:24" ht="15">
      <c r="D680" s="4">
        <v>2</v>
      </c>
      <c r="E680" s="4">
        <v>3</v>
      </c>
      <c r="G680" s="4">
        <v>3.5</v>
      </c>
      <c r="I680" s="4">
        <v>4</v>
      </c>
      <c r="K680" s="4">
        <v>5</v>
      </c>
      <c r="M680" s="4">
        <v>6</v>
      </c>
      <c r="O680" s="4"/>
      <c r="P680" s="4"/>
      <c r="Q680" s="4"/>
      <c r="R680" s="4"/>
      <c r="S680" s="4"/>
      <c r="T680" s="4"/>
      <c r="U680" s="4"/>
      <c r="V680" s="4"/>
      <c r="W680" s="4"/>
      <c r="X680" s="4"/>
    </row>
    <row r="681" spans="4:24" ht="15">
      <c r="D681" s="4">
        <v>2.5</v>
      </c>
      <c r="E681" s="4">
        <v>3</v>
      </c>
      <c r="G681" s="4">
        <v>3.5</v>
      </c>
      <c r="I681" s="4">
        <v>4</v>
      </c>
      <c r="K681" s="4">
        <v>5</v>
      </c>
      <c r="M681" s="4">
        <v>6</v>
      </c>
      <c r="O681" s="4"/>
      <c r="P681" s="4"/>
      <c r="Q681" s="4"/>
      <c r="R681" s="4"/>
      <c r="S681" s="4"/>
      <c r="T681" s="4"/>
      <c r="U681" s="4"/>
      <c r="V681" s="4"/>
      <c r="W681" s="4"/>
      <c r="X681" s="4"/>
    </row>
    <row r="682" spans="4:24" ht="15">
      <c r="D682" s="4">
        <v>3</v>
      </c>
      <c r="E682" s="4">
        <v>3</v>
      </c>
      <c r="F682" s="4">
        <v>1.05</v>
      </c>
      <c r="G682" s="4">
        <v>3.5</v>
      </c>
      <c r="H682" s="4">
        <v>1.004</v>
      </c>
      <c r="I682" s="4">
        <v>4</v>
      </c>
      <c r="K682" s="4">
        <v>5</v>
      </c>
      <c r="M682" s="4">
        <v>6</v>
      </c>
      <c r="O682" s="4"/>
      <c r="P682" s="4"/>
      <c r="Q682" s="4"/>
      <c r="R682" s="4"/>
      <c r="S682" s="4"/>
      <c r="T682" s="4"/>
      <c r="U682" s="4"/>
      <c r="V682" s="4"/>
      <c r="W682" s="4"/>
      <c r="X682" s="4"/>
    </row>
    <row r="683" spans="4:24" ht="15">
      <c r="D683" s="4">
        <v>3.5</v>
      </c>
      <c r="E683" s="4">
        <v>3</v>
      </c>
      <c r="F683" s="4">
        <v>1.098</v>
      </c>
      <c r="G683" s="4">
        <v>3.5</v>
      </c>
      <c r="H683" s="4">
        <v>1.053</v>
      </c>
      <c r="I683" s="4">
        <v>4</v>
      </c>
      <c r="J683" s="4">
        <v>1.008</v>
      </c>
      <c r="K683" s="4">
        <v>5</v>
      </c>
      <c r="M683" s="4">
        <v>6</v>
      </c>
      <c r="O683" s="4"/>
      <c r="P683" s="4"/>
      <c r="Q683" s="4"/>
      <c r="R683" s="4"/>
      <c r="S683" s="4"/>
      <c r="T683" s="4"/>
      <c r="U683" s="4"/>
      <c r="V683" s="4"/>
      <c r="W683" s="4"/>
      <c r="X683" s="4"/>
    </row>
    <row r="684" spans="4:24" ht="15">
      <c r="D684" s="4">
        <v>4</v>
      </c>
      <c r="E684" s="4">
        <v>3</v>
      </c>
      <c r="F684" s="4">
        <v>1.128</v>
      </c>
      <c r="G684" s="4">
        <v>3.5</v>
      </c>
      <c r="H684" s="4">
        <v>1.087</v>
      </c>
      <c r="I684" s="4">
        <v>4</v>
      </c>
      <c r="J684" s="4">
        <v>1.044</v>
      </c>
      <c r="K684" s="4">
        <v>5</v>
      </c>
      <c r="L684" s="4">
        <v>1.005</v>
      </c>
      <c r="M684" s="4">
        <v>6</v>
      </c>
      <c r="O684" s="4"/>
      <c r="P684" s="4"/>
      <c r="Q684" s="4"/>
      <c r="R684" s="4"/>
      <c r="S684" s="4"/>
      <c r="T684" s="4"/>
      <c r="U684" s="4"/>
      <c r="V684" s="4"/>
      <c r="W684" s="4"/>
      <c r="X684" s="4"/>
    </row>
    <row r="685" spans="4:24" ht="15">
      <c r="D685" s="4">
        <v>5</v>
      </c>
      <c r="E685" s="4">
        <v>3</v>
      </c>
      <c r="F685" s="4">
        <v>1.176</v>
      </c>
      <c r="G685" s="4">
        <v>3.5</v>
      </c>
      <c r="H685" s="4">
        <v>1.148</v>
      </c>
      <c r="I685" s="4">
        <v>4</v>
      </c>
      <c r="J685" s="4">
        <v>1.11</v>
      </c>
      <c r="K685" s="4">
        <v>5</v>
      </c>
      <c r="L685" s="4">
        <v>1.056</v>
      </c>
      <c r="M685" s="4">
        <v>6</v>
      </c>
      <c r="N685" s="4">
        <v>1.009</v>
      </c>
      <c r="O685" s="4"/>
      <c r="P685" s="4"/>
      <c r="Q685" s="4"/>
      <c r="R685" s="4"/>
      <c r="S685" s="4"/>
      <c r="T685" s="4"/>
      <c r="U685" s="4"/>
      <c r="V685" s="4"/>
      <c r="W685" s="4"/>
      <c r="X685" s="4"/>
    </row>
    <row r="686" spans="4:24" ht="15">
      <c r="D686" s="4">
        <v>6</v>
      </c>
      <c r="E686" s="4">
        <v>3</v>
      </c>
      <c r="F686" s="4">
        <v>1.21</v>
      </c>
      <c r="G686" s="4">
        <v>3.5</v>
      </c>
      <c r="H686" s="4">
        <v>1.18</v>
      </c>
      <c r="I686" s="4">
        <v>4</v>
      </c>
      <c r="J686" s="4">
        <v>1.147</v>
      </c>
      <c r="K686" s="4">
        <v>5</v>
      </c>
      <c r="L686" s="4">
        <v>1.107</v>
      </c>
      <c r="M686" s="4">
        <v>6</v>
      </c>
      <c r="N686" s="4">
        <v>1.058</v>
      </c>
      <c r="O686" s="4"/>
      <c r="P686" s="4"/>
      <c r="Q686" s="4"/>
      <c r="R686" s="4"/>
      <c r="S686" s="4"/>
      <c r="T686" s="4"/>
      <c r="U686" s="4"/>
      <c r="V686" s="4"/>
      <c r="W686" s="4"/>
      <c r="X686" s="4"/>
    </row>
    <row r="687" spans="4:24" ht="15">
      <c r="D687" s="4">
        <v>7</v>
      </c>
      <c r="E687" s="4">
        <v>3</v>
      </c>
      <c r="F687" s="4">
        <v>1.232</v>
      </c>
      <c r="G687" s="4">
        <v>3.5</v>
      </c>
      <c r="H687" s="4">
        <v>1.208</v>
      </c>
      <c r="I687" s="4">
        <v>4</v>
      </c>
      <c r="J687" s="4">
        <v>1.176</v>
      </c>
      <c r="K687" s="4">
        <v>5</v>
      </c>
      <c r="L687" s="4">
        <v>1.146</v>
      </c>
      <c r="M687" s="4">
        <v>6</v>
      </c>
      <c r="N687" s="4">
        <v>1.09</v>
      </c>
      <c r="O687" s="4"/>
      <c r="P687" s="4"/>
      <c r="Q687" s="4"/>
      <c r="R687" s="4"/>
      <c r="S687" s="4"/>
      <c r="T687" s="4"/>
      <c r="U687" s="4"/>
      <c r="V687" s="4"/>
      <c r="W687" s="4"/>
      <c r="X687" s="4"/>
    </row>
    <row r="688" spans="4:24" ht="15">
      <c r="D688" s="4">
        <v>8</v>
      </c>
      <c r="E688" s="4">
        <v>3</v>
      </c>
      <c r="F688" s="4">
        <v>1.252</v>
      </c>
      <c r="G688" s="4">
        <v>3.5</v>
      </c>
      <c r="H688" s="4">
        <v>1.226</v>
      </c>
      <c r="I688" s="4">
        <v>4</v>
      </c>
      <c r="J688" s="4">
        <v>1.202</v>
      </c>
      <c r="K688" s="4">
        <v>5</v>
      </c>
      <c r="L688" s="4">
        <v>1.164</v>
      </c>
      <c r="M688" s="4">
        <v>6</v>
      </c>
      <c r="N688" s="4">
        <v>1.12</v>
      </c>
      <c r="O688" s="4"/>
      <c r="P688" s="4"/>
      <c r="Q688" s="4"/>
      <c r="R688" s="4"/>
      <c r="S688" s="4"/>
      <c r="T688" s="4"/>
      <c r="U688" s="4"/>
      <c r="V688" s="4"/>
      <c r="W688" s="4"/>
      <c r="X688" s="4"/>
    </row>
    <row r="689" spans="4:24" ht="15">
      <c r="D689" s="1" t="s">
        <v>218</v>
      </c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</row>
    <row r="690" spans="4:24" ht="15">
      <c r="D690" s="1" t="s">
        <v>66</v>
      </c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</row>
    <row r="691" spans="4:24" ht="15"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</row>
    <row r="692" spans="4:24" ht="15">
      <c r="D692" s="1" t="s">
        <v>67</v>
      </c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</row>
    <row r="693" ht="15">
      <c r="E693" s="2" t="s">
        <v>42</v>
      </c>
    </row>
    <row r="694" spans="4:12" ht="15">
      <c r="D694" s="3" t="s">
        <v>209</v>
      </c>
      <c r="E694" s="3" t="s">
        <v>545</v>
      </c>
      <c r="F694" s="3" t="s">
        <v>380</v>
      </c>
      <c r="G694" s="3" t="s">
        <v>209</v>
      </c>
      <c r="H694" s="3" t="s">
        <v>545</v>
      </c>
      <c r="I694" s="3" t="s">
        <v>380</v>
      </c>
      <c r="J694" s="3" t="s">
        <v>209</v>
      </c>
      <c r="K694" s="3" t="s">
        <v>545</v>
      </c>
      <c r="L694" s="3" t="s">
        <v>380</v>
      </c>
    </row>
    <row r="695" spans="4:12" ht="15">
      <c r="D695" s="4">
        <v>2</v>
      </c>
      <c r="E695" s="4">
        <v>0.12</v>
      </c>
      <c r="F695" s="4">
        <v>16.2</v>
      </c>
      <c r="G695" s="4">
        <v>2</v>
      </c>
      <c r="H695" s="4">
        <v>0.051</v>
      </c>
      <c r="I695" s="4">
        <v>22</v>
      </c>
      <c r="J695" s="4">
        <v>2</v>
      </c>
      <c r="K695" s="4">
        <v>0.01</v>
      </c>
      <c r="L695" s="4">
        <v>42.5</v>
      </c>
    </row>
    <row r="696" spans="4:12" ht="15">
      <c r="D696" s="4">
        <v>4</v>
      </c>
      <c r="E696" s="4">
        <v>0.12</v>
      </c>
      <c r="F696" s="4">
        <v>24.5</v>
      </c>
      <c r="G696" s="4">
        <v>4</v>
      </c>
      <c r="H696" s="4">
        <v>0.051</v>
      </c>
      <c r="I696" s="4">
        <v>33.7</v>
      </c>
      <c r="J696" s="4">
        <v>4</v>
      </c>
      <c r="K696" s="4">
        <v>0.01</v>
      </c>
      <c r="L696" s="4">
        <v>65.4</v>
      </c>
    </row>
    <row r="697" spans="4:12" ht="15">
      <c r="D697" s="4">
        <v>6</v>
      </c>
      <c r="E697" s="4">
        <v>0.12</v>
      </c>
      <c r="F697" s="4">
        <v>31.4</v>
      </c>
      <c r="G697" s="4">
        <v>6</v>
      </c>
      <c r="H697" s="4">
        <v>0.051</v>
      </c>
      <c r="I697" s="4">
        <v>43.3</v>
      </c>
      <c r="J697" s="4">
        <v>6</v>
      </c>
      <c r="K697" s="4">
        <v>0.01</v>
      </c>
      <c r="L697" s="4">
        <v>83.6</v>
      </c>
    </row>
    <row r="698" spans="4:12" ht="15">
      <c r="D698" s="4">
        <v>9</v>
      </c>
      <c r="E698" s="4">
        <v>0.12</v>
      </c>
      <c r="F698" s="4">
        <v>39.7</v>
      </c>
      <c r="G698" s="4">
        <v>9</v>
      </c>
      <c r="H698" s="4">
        <v>0.051</v>
      </c>
      <c r="I698" s="4">
        <v>55.4</v>
      </c>
      <c r="J698" s="4">
        <v>8</v>
      </c>
      <c r="K698" s="4">
        <v>0.01</v>
      </c>
      <c r="L698" s="4">
        <v>99.7</v>
      </c>
    </row>
    <row r="699" spans="4:9" ht="15">
      <c r="D699" s="4">
        <v>12</v>
      </c>
      <c r="E699" s="4">
        <v>0.12</v>
      </c>
      <c r="F699" s="4">
        <v>47.2</v>
      </c>
      <c r="G699" s="4">
        <v>12</v>
      </c>
      <c r="H699" s="4">
        <v>0.051</v>
      </c>
      <c r="I699" s="4">
        <v>65.7</v>
      </c>
    </row>
    <row r="700" spans="4:9" ht="15">
      <c r="D700" s="4">
        <v>15</v>
      </c>
      <c r="E700" s="4">
        <v>0.12</v>
      </c>
      <c r="F700" s="4">
        <v>54</v>
      </c>
      <c r="G700" s="4">
        <v>15</v>
      </c>
      <c r="H700" s="4">
        <v>0.051</v>
      </c>
      <c r="I700" s="4">
        <v>75.4</v>
      </c>
    </row>
    <row r="701" spans="4:9" ht="15">
      <c r="D701" s="4">
        <v>18</v>
      </c>
      <c r="E701" s="4">
        <v>0.12</v>
      </c>
      <c r="F701" s="4">
        <v>60.4</v>
      </c>
      <c r="G701" s="4">
        <v>18</v>
      </c>
      <c r="H701" s="4">
        <v>0.051</v>
      </c>
      <c r="I701" s="4">
        <v>84.2</v>
      </c>
    </row>
    <row r="702" ht="15">
      <c r="D702" s="1" t="s">
        <v>219</v>
      </c>
    </row>
    <row r="703" ht="15">
      <c r="D703" s="1" t="s">
        <v>220</v>
      </c>
    </row>
    <row r="704" spans="3:4" ht="15">
      <c r="C704" s="8"/>
      <c r="D704" s="1" t="s">
        <v>214</v>
      </c>
    </row>
    <row r="705" spans="3:4" ht="15">
      <c r="C705" s="8"/>
      <c r="D705" s="1" t="s">
        <v>173</v>
      </c>
    </row>
    <row r="706" spans="3:4" ht="15">
      <c r="C706" s="8"/>
      <c r="D706" s="1" t="s">
        <v>221</v>
      </c>
    </row>
    <row r="707" spans="3:4" ht="15">
      <c r="C707" s="8"/>
      <c r="D707" s="1" t="s">
        <v>222</v>
      </c>
    </row>
    <row r="708" spans="3:4" ht="15">
      <c r="C708" s="8"/>
      <c r="D708" s="1" t="s">
        <v>218</v>
      </c>
    </row>
    <row r="709" spans="3:4" ht="15">
      <c r="C709" s="8"/>
      <c r="D709" t="s">
        <v>66</v>
      </c>
    </row>
    <row r="710" spans="3:4" ht="15">
      <c r="C710" s="8"/>
      <c r="D710" s="1" t="s">
        <v>219</v>
      </c>
    </row>
    <row r="712" ht="15">
      <c r="D712" s="1" t="s">
        <v>223</v>
      </c>
    </row>
    <row r="713" spans="4:11" ht="15">
      <c r="D713" s="1"/>
      <c r="E713" s="1" t="s">
        <v>45</v>
      </c>
      <c r="K713" s="1"/>
    </row>
    <row r="714" ht="15">
      <c r="D714" s="1" t="s">
        <v>224</v>
      </c>
    </row>
    <row r="715" ht="15">
      <c r="D715" s="1" t="s">
        <v>225</v>
      </c>
    </row>
    <row r="716" ht="15">
      <c r="D716" s="1" t="s">
        <v>226</v>
      </c>
    </row>
    <row r="717" ht="15">
      <c r="D717" s="1" t="s">
        <v>227</v>
      </c>
    </row>
    <row r="718" ht="15">
      <c r="D718" s="1" t="s">
        <v>228</v>
      </c>
    </row>
    <row r="719" spans="3:4" ht="15">
      <c r="C719" s="1"/>
      <c r="D719" s="1" t="s">
        <v>474</v>
      </c>
    </row>
    <row r="720" ht="15">
      <c r="E720" s="1" t="s">
        <v>344</v>
      </c>
    </row>
    <row r="721" spans="4:10" ht="15">
      <c r="D721" s="5" t="s">
        <v>544</v>
      </c>
      <c r="E721" s="4">
        <v>0</v>
      </c>
      <c r="F721" s="4">
        <v>100</v>
      </c>
      <c r="G721" s="4">
        <v>200</v>
      </c>
      <c r="H721" s="4">
        <v>400</v>
      </c>
      <c r="I721" s="4">
        <v>600</v>
      </c>
      <c r="J721" s="4">
        <v>800</v>
      </c>
    </row>
    <row r="722" spans="4:10" ht="15">
      <c r="D722" s="5" t="s">
        <v>206</v>
      </c>
      <c r="E722" s="4">
        <v>1.49</v>
      </c>
      <c r="F722" s="4">
        <v>1.22</v>
      </c>
      <c r="G722" s="4">
        <v>1.05</v>
      </c>
      <c r="H722" s="4">
        <v>0.865</v>
      </c>
      <c r="I722" s="4">
        <v>0.758</v>
      </c>
      <c r="J722" s="4">
        <v>0.687</v>
      </c>
    </row>
    <row r="723" ht="15">
      <c r="D723" s="1" t="s">
        <v>229</v>
      </c>
    </row>
    <row r="724" ht="15">
      <c r="E724" s="1" t="s">
        <v>345</v>
      </c>
    </row>
    <row r="725" spans="4:14" ht="15">
      <c r="D725" s="3" t="s">
        <v>544</v>
      </c>
      <c r="E725" s="3" t="s">
        <v>102</v>
      </c>
      <c r="F725" s="3" t="s">
        <v>206</v>
      </c>
      <c r="G725" s="3" t="s">
        <v>102</v>
      </c>
      <c r="H725" s="3" t="s">
        <v>206</v>
      </c>
      <c r="I725" s="3" t="s">
        <v>102</v>
      </c>
      <c r="J725" s="3" t="s">
        <v>206</v>
      </c>
      <c r="K725" s="3" t="s">
        <v>102</v>
      </c>
      <c r="L725" s="3" t="s">
        <v>206</v>
      </c>
      <c r="M725" s="3" t="s">
        <v>102</v>
      </c>
      <c r="N725" s="3" t="s">
        <v>206</v>
      </c>
    </row>
    <row r="726" spans="4:14" ht="15">
      <c r="D726" s="4">
        <v>120</v>
      </c>
      <c r="E726" s="4">
        <v>0.02</v>
      </c>
      <c r="F726" s="4">
        <v>1.207</v>
      </c>
      <c r="G726" s="4">
        <v>0.05</v>
      </c>
      <c r="H726" s="4">
        <v>1.22</v>
      </c>
      <c r="I726" s="4">
        <v>0.1</v>
      </c>
      <c r="J726" s="4">
        <v>1.25</v>
      </c>
      <c r="K726" s="4">
        <v>0.2</v>
      </c>
      <c r="L726" s="4">
        <v>1.35</v>
      </c>
      <c r="M726" s="4">
        <v>0.3</v>
      </c>
      <c r="N726" s="4">
        <v>1.43</v>
      </c>
    </row>
    <row r="727" spans="4:14" ht="15">
      <c r="D727" s="4">
        <v>200</v>
      </c>
      <c r="E727" s="4">
        <v>0.02</v>
      </c>
      <c r="F727" s="4">
        <v>1.106</v>
      </c>
      <c r="G727" s="4">
        <v>0.05</v>
      </c>
      <c r="H727" s="4">
        <v>1.128</v>
      </c>
      <c r="I727" s="4">
        <v>0.1</v>
      </c>
      <c r="J727" s="4">
        <v>1.16</v>
      </c>
      <c r="K727" s="4">
        <v>0.2</v>
      </c>
      <c r="L727" s="4">
        <v>1.239</v>
      </c>
      <c r="M727" s="4">
        <v>0.3</v>
      </c>
      <c r="N727" s="4">
        <v>1.337</v>
      </c>
    </row>
    <row r="728" spans="4:14" ht="15">
      <c r="D728" s="4">
        <v>400</v>
      </c>
      <c r="E728" s="4">
        <v>0.02</v>
      </c>
      <c r="F728" s="4">
        <v>0.926</v>
      </c>
      <c r="G728" s="4">
        <v>0.05</v>
      </c>
      <c r="H728" s="4">
        <v>0.952</v>
      </c>
      <c r="I728" s="4">
        <v>0.1</v>
      </c>
      <c r="J728" s="4">
        <v>0.993</v>
      </c>
      <c r="K728" s="4">
        <v>0.2</v>
      </c>
      <c r="L728" s="4">
        <v>1.06</v>
      </c>
      <c r="M728" s="4">
        <v>0.3</v>
      </c>
      <c r="N728" s="4">
        <v>1.15</v>
      </c>
    </row>
    <row r="729" spans="4:14" ht="15">
      <c r="D729" s="4">
        <v>600</v>
      </c>
      <c r="E729" s="4">
        <v>0.02</v>
      </c>
      <c r="F729" s="4">
        <v>0.817</v>
      </c>
      <c r="G729" s="4">
        <v>0.05</v>
      </c>
      <c r="H729" s="4">
        <v>0.847</v>
      </c>
      <c r="I729" s="4">
        <v>0.1</v>
      </c>
      <c r="J729" s="4">
        <v>0.887</v>
      </c>
      <c r="K729" s="4">
        <v>0.2</v>
      </c>
      <c r="L729" s="4">
        <v>0.953</v>
      </c>
      <c r="M729" s="4">
        <v>0.3</v>
      </c>
      <c r="N729" s="4">
        <v>1.017</v>
      </c>
    </row>
    <row r="730" spans="4:14" ht="15">
      <c r="D730" s="4">
        <v>800</v>
      </c>
      <c r="E730" s="4">
        <v>0.02</v>
      </c>
      <c r="F730" s="4">
        <v>0.745</v>
      </c>
      <c r="G730" s="4">
        <v>0.05</v>
      </c>
      <c r="H730" s="4">
        <v>0.779</v>
      </c>
      <c r="I730" s="4">
        <v>0.1</v>
      </c>
      <c r="J730" s="4">
        <v>0.813</v>
      </c>
      <c r="K730" s="4">
        <v>0.2</v>
      </c>
      <c r="L730" s="4">
        <v>0.878</v>
      </c>
      <c r="M730" s="4">
        <v>0.3</v>
      </c>
      <c r="N730" s="4">
        <v>0.933</v>
      </c>
    </row>
    <row r="731" spans="4:14" ht="15">
      <c r="D731" s="4">
        <v>1200</v>
      </c>
      <c r="E731" s="4">
        <v>0.02</v>
      </c>
      <c r="F731" s="4">
        <v>0.648</v>
      </c>
      <c r="G731" s="4">
        <v>0.05</v>
      </c>
      <c r="H731" s="4">
        <v>0.68</v>
      </c>
      <c r="I731" s="4">
        <v>0.1</v>
      </c>
      <c r="J731" s="4">
        <v>0.719</v>
      </c>
      <c r="K731" s="4">
        <v>0.2</v>
      </c>
      <c r="L731" s="4">
        <v>0.775</v>
      </c>
      <c r="M731" s="4">
        <v>0.3</v>
      </c>
      <c r="N731" s="4">
        <v>0.818</v>
      </c>
    </row>
    <row r="732" spans="4:14" ht="15">
      <c r="D732" s="4">
        <v>1600</v>
      </c>
      <c r="E732" s="4">
        <v>0.02</v>
      </c>
      <c r="F732" s="4">
        <v>0.587</v>
      </c>
      <c r="G732" s="4">
        <v>0.05</v>
      </c>
      <c r="H732" s="4">
        <v>0.628</v>
      </c>
      <c r="I732" s="4">
        <v>0.1</v>
      </c>
      <c r="J732" s="4">
        <v>0.663</v>
      </c>
      <c r="K732" s="4">
        <v>0.2</v>
      </c>
      <c r="L732" s="4">
        <v>0.713</v>
      </c>
      <c r="M732" s="4">
        <v>0.3</v>
      </c>
      <c r="N732" s="4">
        <v>0.753</v>
      </c>
    </row>
    <row r="733" ht="15">
      <c r="D733" s="1" t="s">
        <v>230</v>
      </c>
    </row>
    <row r="734" spans="4:12" ht="15">
      <c r="D734" s="3" t="s">
        <v>544</v>
      </c>
      <c r="E734" s="3" t="s">
        <v>338</v>
      </c>
      <c r="F734" s="3" t="s">
        <v>382</v>
      </c>
      <c r="G734" s="3" t="s">
        <v>544</v>
      </c>
      <c r="H734" s="3" t="s">
        <v>338</v>
      </c>
      <c r="I734" s="3" t="s">
        <v>382</v>
      </c>
      <c r="J734" s="3" t="s">
        <v>544</v>
      </c>
      <c r="K734" s="3" t="s">
        <v>338</v>
      </c>
      <c r="L734" s="3" t="s">
        <v>382</v>
      </c>
    </row>
    <row r="735" spans="4:12" ht="15">
      <c r="D735" s="4">
        <v>50</v>
      </c>
      <c r="E735" s="4">
        <v>500</v>
      </c>
      <c r="F735" s="4">
        <v>0.737</v>
      </c>
      <c r="G735" s="4">
        <v>50</v>
      </c>
      <c r="H735" s="4">
        <v>400</v>
      </c>
      <c r="I735" s="4">
        <v>0.837</v>
      </c>
      <c r="J735" s="4">
        <v>50</v>
      </c>
      <c r="K735" s="4">
        <v>300</v>
      </c>
      <c r="L735" s="4">
        <v>0.964</v>
      </c>
    </row>
    <row r="736" spans="4:12" ht="15">
      <c r="D736" s="4">
        <v>100</v>
      </c>
      <c r="E736" s="4">
        <v>500</v>
      </c>
      <c r="F736" s="4">
        <v>0.767</v>
      </c>
      <c r="G736" s="4">
        <v>100</v>
      </c>
      <c r="H736" s="4">
        <v>400</v>
      </c>
      <c r="I736" s="4">
        <v>0.867</v>
      </c>
      <c r="J736" s="4">
        <v>100</v>
      </c>
      <c r="K736" s="4">
        <v>300</v>
      </c>
      <c r="L736" s="4">
        <v>0.9675</v>
      </c>
    </row>
    <row r="737" spans="4:12" ht="15">
      <c r="D737" s="4">
        <v>200</v>
      </c>
      <c r="E737" s="4">
        <v>500</v>
      </c>
      <c r="F737" s="4">
        <v>0.807</v>
      </c>
      <c r="G737" s="4">
        <v>200</v>
      </c>
      <c r="H737" s="4">
        <v>400</v>
      </c>
      <c r="I737" s="4">
        <v>0.894</v>
      </c>
      <c r="J737" s="4">
        <v>200</v>
      </c>
      <c r="K737" s="4">
        <v>300</v>
      </c>
      <c r="L737" s="4">
        <v>0.955</v>
      </c>
    </row>
    <row r="738" spans="4:12" ht="15">
      <c r="D738" s="4">
        <v>300</v>
      </c>
      <c r="E738" s="4">
        <v>500</v>
      </c>
      <c r="F738" s="4">
        <v>0.82</v>
      </c>
      <c r="G738" s="4">
        <v>300</v>
      </c>
      <c r="H738" s="4">
        <v>400</v>
      </c>
      <c r="I738" s="4">
        <v>0.868</v>
      </c>
      <c r="J738" s="4">
        <v>260</v>
      </c>
      <c r="K738" s="4">
        <v>300</v>
      </c>
      <c r="L738" s="4">
        <v>0.937</v>
      </c>
    </row>
    <row r="739" spans="4:9" ht="15">
      <c r="D739" s="4">
        <v>400</v>
      </c>
      <c r="E739" s="4">
        <v>500</v>
      </c>
      <c r="F739" s="4">
        <v>0.807</v>
      </c>
      <c r="G739" s="4">
        <v>400</v>
      </c>
      <c r="H739" s="4">
        <v>400</v>
      </c>
      <c r="I739" s="4">
        <v>0.832</v>
      </c>
    </row>
    <row r="740" spans="4:8" ht="15">
      <c r="D740" s="4">
        <v>500</v>
      </c>
      <c r="E740" s="4">
        <v>500</v>
      </c>
      <c r="F740" s="4">
        <v>0.772</v>
      </c>
      <c r="H740" s="4">
        <v>400</v>
      </c>
    </row>
    <row r="741" spans="4:9" ht="15">
      <c r="D741" s="3" t="s">
        <v>544</v>
      </c>
      <c r="E741" s="3" t="s">
        <v>338</v>
      </c>
      <c r="F741" s="3" t="s">
        <v>382</v>
      </c>
      <c r="G741" s="3" t="s">
        <v>544</v>
      </c>
      <c r="H741" s="3" t="s">
        <v>338</v>
      </c>
      <c r="I741" s="3" t="s">
        <v>382</v>
      </c>
    </row>
    <row r="742" spans="4:9" ht="15">
      <c r="D742" s="4">
        <v>50</v>
      </c>
      <c r="E742" s="4">
        <v>200</v>
      </c>
      <c r="F742" s="4">
        <v>1.11</v>
      </c>
      <c r="G742" s="4">
        <v>50</v>
      </c>
      <c r="H742" s="4">
        <v>100</v>
      </c>
      <c r="I742" s="4">
        <v>1.227</v>
      </c>
    </row>
    <row r="743" spans="4:9" ht="15">
      <c r="D743" s="4">
        <v>100</v>
      </c>
      <c r="E743" s="4">
        <v>200</v>
      </c>
      <c r="F743" s="4">
        <v>1.075</v>
      </c>
      <c r="G743" s="4">
        <v>80</v>
      </c>
      <c r="H743" s="4">
        <v>100</v>
      </c>
      <c r="I743" s="4">
        <v>1.187</v>
      </c>
    </row>
    <row r="744" spans="4:9" ht="15">
      <c r="D744" s="4">
        <v>140</v>
      </c>
      <c r="E744" s="4">
        <v>200</v>
      </c>
      <c r="F744" s="4">
        <v>1.049</v>
      </c>
      <c r="G744" s="4">
        <v>100</v>
      </c>
      <c r="H744" s="4">
        <v>100</v>
      </c>
      <c r="I744" s="4">
        <v>1.157</v>
      </c>
    </row>
    <row r="745" spans="4:9" ht="15">
      <c r="D745" s="4">
        <v>180</v>
      </c>
      <c r="E745" s="4">
        <v>200</v>
      </c>
      <c r="F745" s="4">
        <v>1.02</v>
      </c>
      <c r="G745" s="4">
        <v>120</v>
      </c>
      <c r="H745" s="4">
        <v>100</v>
      </c>
      <c r="I745" s="4">
        <v>1.117</v>
      </c>
    </row>
    <row r="746" spans="4:8" ht="15">
      <c r="D746" s="1" t="s">
        <v>231</v>
      </c>
      <c r="E746" s="4"/>
      <c r="F746" s="4"/>
      <c r="H746" s="4"/>
    </row>
    <row r="747" spans="4:8" ht="15">
      <c r="D747" s="4"/>
      <c r="E747" s="4"/>
      <c r="F747" s="4"/>
      <c r="H747" s="4"/>
    </row>
    <row r="748" spans="4:12" ht="15">
      <c r="D748" s="3" t="s">
        <v>209</v>
      </c>
      <c r="E748" s="3" t="s">
        <v>347</v>
      </c>
      <c r="F748" s="3" t="s">
        <v>380</v>
      </c>
      <c r="G748" s="3" t="s">
        <v>209</v>
      </c>
      <c r="H748" s="3" t="s">
        <v>347</v>
      </c>
      <c r="I748" s="3" t="s">
        <v>380</v>
      </c>
      <c r="J748" s="3" t="s">
        <v>209</v>
      </c>
      <c r="K748" s="3" t="s">
        <v>347</v>
      </c>
      <c r="L748" s="3" t="s">
        <v>380</v>
      </c>
    </row>
    <row r="749" spans="3:12" ht="15">
      <c r="C749" s="2"/>
      <c r="D749" s="3"/>
      <c r="F749" s="3"/>
      <c r="G749" s="3"/>
      <c r="H749" s="3"/>
      <c r="I749" s="3"/>
      <c r="J749" s="3"/>
      <c r="K749" s="3"/>
      <c r="L749" s="3"/>
    </row>
    <row r="750" spans="4:12" ht="15">
      <c r="D750" s="4">
        <v>7</v>
      </c>
      <c r="E750" s="4">
        <v>1.5</v>
      </c>
      <c r="F750" s="4">
        <v>10.04</v>
      </c>
      <c r="G750" s="4">
        <v>4</v>
      </c>
      <c r="H750" s="4">
        <v>0.15</v>
      </c>
      <c r="I750" s="4">
        <v>10.052</v>
      </c>
      <c r="J750" s="4">
        <v>3</v>
      </c>
      <c r="K750" s="4">
        <v>0.014</v>
      </c>
      <c r="L750" s="4">
        <v>13.62</v>
      </c>
    </row>
    <row r="751" spans="4:12" ht="15">
      <c r="D751" s="4">
        <v>10</v>
      </c>
      <c r="E751" s="4">
        <v>1.5</v>
      </c>
      <c r="F751" s="4">
        <v>13.95</v>
      </c>
      <c r="G751" s="4">
        <v>7</v>
      </c>
      <c r="H751" s="4">
        <v>0.15</v>
      </c>
      <c r="I751" s="4">
        <v>16.54</v>
      </c>
      <c r="J751" s="4">
        <v>6</v>
      </c>
      <c r="K751" s="4">
        <v>0.014</v>
      </c>
      <c r="L751" s="4">
        <v>23</v>
      </c>
    </row>
    <row r="752" spans="4:12" ht="15">
      <c r="D752" s="4">
        <v>14</v>
      </c>
      <c r="E752" s="4">
        <v>1.5</v>
      </c>
      <c r="F752" s="4">
        <v>18.2</v>
      </c>
      <c r="G752" s="4">
        <v>12</v>
      </c>
      <c r="H752" s="4">
        <v>0.15</v>
      </c>
      <c r="I752" s="4">
        <v>25.7</v>
      </c>
      <c r="J752" s="4">
        <v>10</v>
      </c>
      <c r="K752" s="4">
        <v>0.014</v>
      </c>
      <c r="L752" s="4">
        <v>35.5</v>
      </c>
    </row>
    <row r="753" spans="4:12" ht="15">
      <c r="D753" s="4">
        <v>19</v>
      </c>
      <c r="E753" s="4">
        <v>1.5</v>
      </c>
      <c r="F753" s="4">
        <v>23.3</v>
      </c>
      <c r="G753" s="4">
        <v>19</v>
      </c>
      <c r="H753" s="4">
        <v>0.15</v>
      </c>
      <c r="I753" s="4">
        <v>36.8</v>
      </c>
      <c r="J753" s="4">
        <v>15</v>
      </c>
      <c r="K753" s="4">
        <v>0.014</v>
      </c>
      <c r="L753" s="4">
        <v>49</v>
      </c>
    </row>
    <row r="754" ht="15">
      <c r="D754" s="1" t="s">
        <v>232</v>
      </c>
    </row>
    <row r="755" spans="4:5" ht="15">
      <c r="D755" s="1"/>
      <c r="E755" s="2" t="s">
        <v>46</v>
      </c>
    </row>
    <row r="756" ht="15">
      <c r="D756" s="1" t="s">
        <v>233</v>
      </c>
    </row>
    <row r="757" ht="15">
      <c r="D757" s="1" t="s">
        <v>224</v>
      </c>
    </row>
    <row r="758" spans="3:4" ht="15">
      <c r="C758" s="8"/>
      <c r="D758" s="1" t="s">
        <v>225</v>
      </c>
    </row>
    <row r="759" spans="3:4" ht="15">
      <c r="C759" s="8"/>
      <c r="D759" s="1" t="s">
        <v>234</v>
      </c>
    </row>
    <row r="760" spans="3:4" ht="15">
      <c r="C760" s="8"/>
      <c r="D760" s="1" t="s">
        <v>235</v>
      </c>
    </row>
    <row r="761" spans="3:4" ht="15">
      <c r="C761" s="8"/>
      <c r="D761" s="1" t="s">
        <v>228</v>
      </c>
    </row>
    <row r="762" spans="3:4" ht="15">
      <c r="C762" s="8"/>
      <c r="D762" s="1" t="s">
        <v>232</v>
      </c>
    </row>
    <row r="763" spans="3:4" ht="15">
      <c r="C763" s="8"/>
      <c r="D763" s="1" t="s">
        <v>226</v>
      </c>
    </row>
    <row r="764" spans="3:4" ht="15">
      <c r="C764" s="8"/>
      <c r="D764" s="1" t="s">
        <v>227</v>
      </c>
    </row>
    <row r="765" spans="3:4" ht="15">
      <c r="C765" s="8"/>
      <c r="D765" s="1" t="s">
        <v>236</v>
      </c>
    </row>
    <row r="766" spans="3:4" ht="15">
      <c r="C766" s="8"/>
      <c r="D766" t="s">
        <v>68</v>
      </c>
    </row>
    <row r="767" spans="3:4" ht="15">
      <c r="C767" s="8"/>
      <c r="D767" t="s">
        <v>228</v>
      </c>
    </row>
    <row r="768" spans="3:4" ht="15">
      <c r="C768" s="8"/>
      <c r="D768" t="s">
        <v>69</v>
      </c>
    </row>
    <row r="769" ht="15">
      <c r="D769" s="1" t="s">
        <v>232</v>
      </c>
    </row>
    <row r="771" ht="15">
      <c r="E771" s="1" t="s">
        <v>348</v>
      </c>
    </row>
    <row r="772" ht="15">
      <c r="D772" s="1" t="s">
        <v>237</v>
      </c>
    </row>
    <row r="773" spans="3:7" ht="15">
      <c r="C773" s="1"/>
      <c r="D773" s="1" t="s">
        <v>48</v>
      </c>
      <c r="G773" s="1" t="s">
        <v>47</v>
      </c>
    </row>
    <row r="774" spans="3:4" ht="15">
      <c r="C774" s="1"/>
      <c r="D774" s="1" t="s">
        <v>238</v>
      </c>
    </row>
    <row r="775" spans="5:8" ht="15">
      <c r="E775" s="3" t="s">
        <v>349</v>
      </c>
      <c r="F775" s="3" t="s">
        <v>383</v>
      </c>
      <c r="G775" s="3" t="s">
        <v>393</v>
      </c>
      <c r="H775" s="3" t="s">
        <v>401</v>
      </c>
    </row>
    <row r="776" spans="4:8" ht="15">
      <c r="D776" s="1" t="s">
        <v>239</v>
      </c>
      <c r="E776" s="4">
        <v>0.015</v>
      </c>
      <c r="F776" s="4">
        <v>0.015</v>
      </c>
      <c r="G776" s="4">
        <v>0.02</v>
      </c>
      <c r="H776" s="4">
        <v>0.025</v>
      </c>
    </row>
    <row r="777" spans="4:8" ht="15">
      <c r="D777" s="1" t="s">
        <v>240</v>
      </c>
      <c r="E777" s="4">
        <v>0.005</v>
      </c>
      <c r="F777" s="4">
        <v>0.005</v>
      </c>
      <c r="G777" s="4">
        <v>0.005</v>
      </c>
      <c r="H777" s="4">
        <v>0.01</v>
      </c>
    </row>
    <row r="778" ht="15">
      <c r="E778" s="1" t="s">
        <v>350</v>
      </c>
    </row>
    <row r="779" spans="3:6" ht="15">
      <c r="C779" s="1" t="s">
        <v>49</v>
      </c>
      <c r="D779" s="1" t="s">
        <v>241</v>
      </c>
      <c r="F779" s="1" t="s">
        <v>50</v>
      </c>
    </row>
    <row r="780" spans="4:10" ht="15">
      <c r="D780" s="5" t="s">
        <v>545</v>
      </c>
      <c r="E780" s="4">
        <v>0.025</v>
      </c>
      <c r="F780" s="4">
        <v>0.03</v>
      </c>
      <c r="G780" s="4">
        <v>0.04</v>
      </c>
      <c r="H780" s="4">
        <v>0.06</v>
      </c>
      <c r="I780" s="4">
        <v>0.08</v>
      </c>
      <c r="J780" s="4">
        <v>0.1</v>
      </c>
    </row>
    <row r="781" spans="4:10" ht="15">
      <c r="D781" s="5" t="s">
        <v>242</v>
      </c>
      <c r="E781" s="4">
        <v>0.5</v>
      </c>
      <c r="F781" s="4">
        <v>0.73</v>
      </c>
      <c r="G781" s="4">
        <v>1.07</v>
      </c>
      <c r="H781" s="4">
        <v>1.67</v>
      </c>
      <c r="I781" s="4">
        <v>2.04</v>
      </c>
      <c r="J781" s="4">
        <v>2.3</v>
      </c>
    </row>
    <row r="782" ht="15">
      <c r="D782" s="1" t="s">
        <v>243</v>
      </c>
    </row>
    <row r="783" ht="15">
      <c r="D783" s="1" t="s">
        <v>244</v>
      </c>
    </row>
    <row r="784" spans="4:8" ht="15">
      <c r="D784" s="1"/>
      <c r="E784" s="1" t="s">
        <v>70</v>
      </c>
      <c r="H784" s="1"/>
    </row>
    <row r="785" spans="4:8" ht="15">
      <c r="D785" s="1"/>
      <c r="E785" s="1" t="s">
        <v>51</v>
      </c>
      <c r="H785" s="1"/>
    </row>
    <row r="786" spans="4:10" ht="15">
      <c r="D786" s="5" t="s">
        <v>209</v>
      </c>
      <c r="E786" s="4">
        <v>2</v>
      </c>
      <c r="F786" s="4">
        <v>4</v>
      </c>
      <c r="G786" s="4">
        <v>7</v>
      </c>
      <c r="H786" s="4">
        <v>10</v>
      </c>
      <c r="I786" s="4">
        <v>14</v>
      </c>
      <c r="J786" s="4">
        <v>18</v>
      </c>
    </row>
    <row r="787" spans="4:10" ht="15">
      <c r="D787" s="5" t="s">
        <v>245</v>
      </c>
      <c r="E787" s="4">
        <v>0.023799999999999998</v>
      </c>
      <c r="F787" s="4">
        <v>0.0165</v>
      </c>
      <c r="G787" s="4">
        <v>0.0097</v>
      </c>
      <c r="H787" s="4">
        <v>0.005699999999999999</v>
      </c>
      <c r="I787" s="4">
        <v>0.0027</v>
      </c>
      <c r="J787" s="4">
        <v>0.0013000000000000002</v>
      </c>
    </row>
    <row r="788" ht="15">
      <c r="D788" s="1" t="s">
        <v>246</v>
      </c>
    </row>
    <row r="789" ht="15">
      <c r="D789" s="1" t="s">
        <v>247</v>
      </c>
    </row>
    <row r="790" spans="4:5" ht="15">
      <c r="D790" s="1"/>
      <c r="E790" s="1" t="s">
        <v>52</v>
      </c>
    </row>
    <row r="791" spans="4:12" ht="15">
      <c r="D791" s="3" t="s">
        <v>209</v>
      </c>
      <c r="E791" s="3" t="s">
        <v>346</v>
      </c>
      <c r="F791" s="3" t="s">
        <v>384</v>
      </c>
      <c r="G791" s="3" t="s">
        <v>346</v>
      </c>
      <c r="H791" s="3" t="s">
        <v>384</v>
      </c>
      <c r="I791" s="3" t="s">
        <v>346</v>
      </c>
      <c r="J791" s="3" t="s">
        <v>384</v>
      </c>
      <c r="K791" s="3" t="s">
        <v>346</v>
      </c>
      <c r="L791" s="3" t="s">
        <v>384</v>
      </c>
    </row>
    <row r="792" spans="4:12" ht="15">
      <c r="D792" s="4">
        <v>2</v>
      </c>
      <c r="E792" s="4">
        <v>1</v>
      </c>
      <c r="F792" s="4">
        <v>0.62</v>
      </c>
      <c r="G792" s="4">
        <v>1.2</v>
      </c>
      <c r="H792" s="4">
        <v>0.78</v>
      </c>
      <c r="I792" s="4">
        <v>1.4</v>
      </c>
      <c r="J792" s="4">
        <v>0.87</v>
      </c>
      <c r="K792" s="4">
        <v>2</v>
      </c>
      <c r="L792" s="4">
        <v>0.95</v>
      </c>
    </row>
    <row r="793" spans="4:12" ht="15">
      <c r="D793" s="4">
        <v>4</v>
      </c>
      <c r="E793" s="4">
        <v>1</v>
      </c>
      <c r="F793" s="4">
        <v>0.32</v>
      </c>
      <c r="G793" s="4">
        <v>1.2</v>
      </c>
      <c r="H793" s="4">
        <v>0.508</v>
      </c>
      <c r="I793" s="4">
        <v>1.4</v>
      </c>
      <c r="J793" s="4">
        <v>0.62</v>
      </c>
      <c r="K793" s="4">
        <v>2</v>
      </c>
      <c r="L793" s="4">
        <v>0.747</v>
      </c>
    </row>
    <row r="794" spans="4:12" ht="15">
      <c r="D794" s="4">
        <v>7</v>
      </c>
      <c r="E794" s="4">
        <v>1</v>
      </c>
      <c r="F794" s="4">
        <v>0.11</v>
      </c>
      <c r="G794" s="4">
        <v>1.2</v>
      </c>
      <c r="H794" s="4">
        <v>0.255</v>
      </c>
      <c r="I794" s="4">
        <v>1.4</v>
      </c>
      <c r="J794" s="4">
        <v>0.367</v>
      </c>
      <c r="K794" s="4">
        <v>2</v>
      </c>
      <c r="L794" s="4">
        <v>0.485</v>
      </c>
    </row>
    <row r="795" spans="4:12" ht="15">
      <c r="D795" s="4">
        <v>10</v>
      </c>
      <c r="E795" s="4">
        <v>1</v>
      </c>
      <c r="F795" s="4">
        <v>0.037</v>
      </c>
      <c r="G795" s="4">
        <v>1.2</v>
      </c>
      <c r="H795" s="4">
        <v>0.125</v>
      </c>
      <c r="I795" s="4">
        <v>1.4</v>
      </c>
      <c r="J795" s="4">
        <v>0.203</v>
      </c>
      <c r="K795" s="4">
        <v>2</v>
      </c>
      <c r="L795" s="4">
        <v>0.327</v>
      </c>
    </row>
    <row r="796" spans="4:12" ht="15">
      <c r="D796" s="4">
        <v>14</v>
      </c>
      <c r="E796" s="4">
        <v>1</v>
      </c>
      <c r="F796" s="4">
        <v>0.013</v>
      </c>
      <c r="G796" s="4">
        <v>1.2</v>
      </c>
      <c r="H796" s="4">
        <v>0.04</v>
      </c>
      <c r="I796" s="4">
        <v>1.4</v>
      </c>
      <c r="J796" s="4">
        <v>0.1</v>
      </c>
      <c r="K796" s="4">
        <v>2</v>
      </c>
      <c r="L796" s="4">
        <v>0.194</v>
      </c>
    </row>
    <row r="797" spans="4:12" ht="15">
      <c r="D797" s="4">
        <v>18</v>
      </c>
      <c r="E797" s="4">
        <v>1</v>
      </c>
      <c r="F797" s="4">
        <v>0.004</v>
      </c>
      <c r="G797" s="4">
        <v>1.2</v>
      </c>
      <c r="H797" s="4">
        <v>0.02</v>
      </c>
      <c r="I797" s="4">
        <v>1.4</v>
      </c>
      <c r="J797" s="4">
        <v>0.045</v>
      </c>
      <c r="K797" s="4">
        <v>2</v>
      </c>
      <c r="L797" s="4">
        <v>0.12</v>
      </c>
    </row>
    <row r="798" spans="3:4" ht="15">
      <c r="C798" s="1" t="s">
        <v>520</v>
      </c>
      <c r="D798" s="1" t="s">
        <v>248</v>
      </c>
    </row>
    <row r="799" spans="2:4" ht="15">
      <c r="B799" s="2"/>
      <c r="C799" s="1"/>
      <c r="D799" s="9" t="s">
        <v>71</v>
      </c>
    </row>
    <row r="800" spans="2:4" ht="15">
      <c r="B800" s="2"/>
      <c r="C800" s="1"/>
      <c r="D800" s="1" t="s">
        <v>249</v>
      </c>
    </row>
    <row r="801" spans="2:4" ht="15">
      <c r="B801" s="2"/>
      <c r="C801" s="1"/>
      <c r="D801" s="9" t="s">
        <v>72</v>
      </c>
    </row>
    <row r="802" spans="1:3" ht="15">
      <c r="A802" s="1"/>
      <c r="C802" s="1" t="s">
        <v>520</v>
      </c>
    </row>
    <row r="804" spans="4:16" ht="15">
      <c r="D804" s="1" t="s">
        <v>74</v>
      </c>
      <c r="M804" s="11" t="s">
        <v>73</v>
      </c>
      <c r="N804" s="11"/>
      <c r="O804" s="11"/>
      <c r="P804" s="11"/>
    </row>
    <row r="807" spans="4:12" ht="15">
      <c r="D807" s="1" t="s">
        <v>250</v>
      </c>
      <c r="I807" s="8"/>
      <c r="J807" s="8"/>
      <c r="K807" s="8"/>
      <c r="L807" s="8"/>
    </row>
    <row r="808" ht="15">
      <c r="D808" s="1" t="s">
        <v>251</v>
      </c>
    </row>
    <row r="809" ht="15">
      <c r="D809" s="1" t="s">
        <v>252</v>
      </c>
    </row>
    <row r="810" ht="15">
      <c r="D810" s="1" t="s">
        <v>253</v>
      </c>
    </row>
    <row r="811" ht="15">
      <c r="D811" s="1" t="s">
        <v>254</v>
      </c>
    </row>
    <row r="812" ht="15">
      <c r="D812" s="1" t="s">
        <v>255</v>
      </c>
    </row>
    <row r="813" ht="15">
      <c r="D813" s="1" t="s">
        <v>256</v>
      </c>
    </row>
    <row r="814" spans="4:5" ht="15">
      <c r="D814" s="8" t="s">
        <v>257</v>
      </c>
      <c r="E814" s="8"/>
    </row>
    <row r="815" ht="15">
      <c r="D815" s="1" t="s">
        <v>258</v>
      </c>
    </row>
    <row r="816" ht="15">
      <c r="D816" s="1" t="s">
        <v>259</v>
      </c>
    </row>
    <row r="817" ht="15">
      <c r="D817" s="1" t="s">
        <v>260</v>
      </c>
    </row>
    <row r="818" ht="15">
      <c r="D818" s="1" t="s">
        <v>261</v>
      </c>
    </row>
    <row r="819" ht="15">
      <c r="D819" s="1" t="s">
        <v>262</v>
      </c>
    </row>
    <row r="820" ht="15">
      <c r="D820" s="1" t="s">
        <v>263</v>
      </c>
    </row>
    <row r="821" ht="15">
      <c r="D821" s="1" t="s">
        <v>264</v>
      </c>
    </row>
    <row r="822" ht="15">
      <c r="D822" s="1" t="s">
        <v>265</v>
      </c>
    </row>
    <row r="823" ht="15">
      <c r="D823" s="1" t="s">
        <v>266</v>
      </c>
    </row>
    <row r="824" ht="15">
      <c r="D824" s="1" t="s">
        <v>267</v>
      </c>
    </row>
    <row r="825" ht="15">
      <c r="D825" s="1" t="s">
        <v>268</v>
      </c>
    </row>
    <row r="826" ht="15">
      <c r="D826" s="1" t="s">
        <v>269</v>
      </c>
    </row>
    <row r="827" ht="15">
      <c r="D827" s="1" t="s">
        <v>270</v>
      </c>
    </row>
    <row r="828" ht="15">
      <c r="D828" s="1" t="s">
        <v>271</v>
      </c>
    </row>
    <row r="829" ht="15">
      <c r="D829" s="1" t="s">
        <v>272</v>
      </c>
    </row>
    <row r="830" ht="15">
      <c r="D830" s="1" t="s">
        <v>273</v>
      </c>
    </row>
    <row r="831" ht="15">
      <c r="D831" s="1" t="s">
        <v>274</v>
      </c>
    </row>
    <row r="832" ht="15">
      <c r="D832" s="1" t="s">
        <v>275</v>
      </c>
    </row>
    <row r="833" ht="15">
      <c r="D833" s="1" t="s">
        <v>276</v>
      </c>
    </row>
    <row r="834" ht="15">
      <c r="D834" s="1" t="s">
        <v>277</v>
      </c>
    </row>
    <row r="835" ht="15">
      <c r="D835" s="1" t="s">
        <v>278</v>
      </c>
    </row>
    <row r="836" ht="15">
      <c r="D836" s="1" t="s">
        <v>279</v>
      </c>
    </row>
    <row r="837" ht="15">
      <c r="D837" s="1" t="s">
        <v>280</v>
      </c>
    </row>
    <row r="838" ht="15">
      <c r="D838" s="1" t="s">
        <v>281</v>
      </c>
    </row>
    <row r="839" ht="15">
      <c r="D839" s="1" t="s">
        <v>282</v>
      </c>
    </row>
    <row r="840" ht="15">
      <c r="D840" s="1" t="s">
        <v>283</v>
      </c>
    </row>
    <row r="841" ht="15">
      <c r="D841" s="1" t="s">
        <v>284</v>
      </c>
    </row>
    <row r="842" ht="15">
      <c r="D842" s="1" t="s">
        <v>285</v>
      </c>
    </row>
    <row r="843" ht="15">
      <c r="D843" s="1" t="s">
        <v>286</v>
      </c>
    </row>
    <row r="844" ht="15">
      <c r="D844" s="1" t="s">
        <v>287</v>
      </c>
    </row>
    <row r="845" ht="15">
      <c r="D845" s="1" t="s">
        <v>288</v>
      </c>
    </row>
    <row r="846" ht="15">
      <c r="D846" s="1" t="s">
        <v>289</v>
      </c>
    </row>
    <row r="847" ht="15">
      <c r="D847" s="1" t="s">
        <v>290</v>
      </c>
    </row>
    <row r="848" ht="15">
      <c r="D848" s="1" t="s">
        <v>291</v>
      </c>
    </row>
    <row r="849" ht="15">
      <c r="D849" s="1" t="s">
        <v>292</v>
      </c>
    </row>
    <row r="850" ht="15">
      <c r="D850" s="1" t="s">
        <v>293</v>
      </c>
    </row>
    <row r="851" ht="15">
      <c r="D851" s="1" t="s">
        <v>294</v>
      </c>
    </row>
    <row r="852" ht="15">
      <c r="D852" s="1" t="s">
        <v>295</v>
      </c>
    </row>
    <row r="853" ht="15">
      <c r="D853" s="1" t="s">
        <v>296</v>
      </c>
    </row>
    <row r="854" ht="15">
      <c r="D854" s="1" t="s">
        <v>297</v>
      </c>
    </row>
    <row r="855" ht="15">
      <c r="D855" s="1" t="s">
        <v>298</v>
      </c>
    </row>
    <row r="856" ht="15">
      <c r="D856" s="1" t="s">
        <v>299</v>
      </c>
    </row>
    <row r="857" ht="15">
      <c r="D857" s="1" t="s">
        <v>300</v>
      </c>
    </row>
    <row r="858" ht="15">
      <c r="D858" s="1" t="s">
        <v>301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520"/>
  <sheetViews>
    <sheetView showGridLines="0" zoomScale="75" zoomScaleNormal="75" workbookViewId="0" topLeftCell="A1">
      <selection activeCell="L19" sqref="L19"/>
    </sheetView>
  </sheetViews>
  <sheetFormatPr defaultColWidth="9.796875" defaultRowHeight="15"/>
  <cols>
    <col min="1" max="3" width="2.796875" style="0" customWidth="1"/>
    <col min="4" max="4" width="6.796875" style="0" customWidth="1"/>
    <col min="5" max="17" width="7.796875" style="0" customWidth="1"/>
  </cols>
  <sheetData>
    <row r="1" spans="4:5" ht="15">
      <c r="D1" s="1" t="s">
        <v>19</v>
      </c>
      <c r="E1" s="1" t="s">
        <v>627</v>
      </c>
    </row>
    <row r="2" ht="15">
      <c r="F2" s="1" t="s">
        <v>628</v>
      </c>
    </row>
    <row r="3" spans="2:19" ht="15">
      <c r="B3" s="20" t="s">
        <v>1120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4" ht="15">
      <c r="D4" s="1" t="s">
        <v>75</v>
      </c>
    </row>
    <row r="5" ht="15">
      <c r="D5" s="1" t="s">
        <v>76</v>
      </c>
    </row>
    <row r="6" ht="15">
      <c r="D6" s="1" t="s">
        <v>77</v>
      </c>
    </row>
    <row r="7" ht="15">
      <c r="D7" s="1" t="s">
        <v>630</v>
      </c>
    </row>
    <row r="8" ht="15">
      <c r="D8" s="1" t="s">
        <v>81</v>
      </c>
    </row>
    <row r="9" spans="2:3" ht="15">
      <c r="B9" s="1" t="s">
        <v>494</v>
      </c>
      <c r="C9" s="1" t="s">
        <v>549</v>
      </c>
    </row>
    <row r="10" spans="2:3" ht="15">
      <c r="B10" s="1" t="s">
        <v>495</v>
      </c>
      <c r="C10" s="1" t="s">
        <v>550</v>
      </c>
    </row>
    <row r="11" spans="2:3" ht="15">
      <c r="B11" s="1" t="s">
        <v>495</v>
      </c>
      <c r="C11" s="1" t="s">
        <v>551</v>
      </c>
    </row>
    <row r="12" spans="2:3" ht="15">
      <c r="B12" s="1" t="s">
        <v>496</v>
      </c>
      <c r="C12" s="1" t="s">
        <v>552</v>
      </c>
    </row>
    <row r="13" spans="2:3" ht="15">
      <c r="B13" s="1" t="s">
        <v>631</v>
      </c>
      <c r="C13" s="1" t="s">
        <v>553</v>
      </c>
    </row>
    <row r="14" spans="2:3" ht="15">
      <c r="B14" s="2" t="s">
        <v>20</v>
      </c>
      <c r="C14" s="1" t="s">
        <v>554</v>
      </c>
    </row>
    <row r="15" spans="2:11" ht="19.5">
      <c r="B15" s="2" t="s">
        <v>509</v>
      </c>
      <c r="C15" s="2" t="s">
        <v>641</v>
      </c>
      <c r="D15" s="36" t="s">
        <v>86</v>
      </c>
      <c r="E15" s="37"/>
      <c r="F15" s="37"/>
      <c r="G15" s="37"/>
      <c r="H15" s="37"/>
      <c r="I15" s="37"/>
      <c r="J15" s="21"/>
      <c r="K15" s="21"/>
    </row>
    <row r="16" spans="2:11" ht="15.75">
      <c r="B16" s="2"/>
      <c r="C16" s="2"/>
      <c r="D16" s="23" t="s">
        <v>7</v>
      </c>
      <c r="E16" s="21"/>
      <c r="F16" s="21"/>
      <c r="G16" s="21"/>
      <c r="H16" s="21"/>
      <c r="I16" s="21"/>
      <c r="J16" s="21"/>
      <c r="K16" s="21"/>
    </row>
    <row r="17" spans="3:10" ht="15">
      <c r="C17" s="1" t="s">
        <v>4</v>
      </c>
      <c r="D17" s="1" t="s">
        <v>87</v>
      </c>
      <c r="E17" s="1" t="s">
        <v>304</v>
      </c>
      <c r="F17" s="3" t="s">
        <v>369</v>
      </c>
      <c r="G17" s="1" t="s">
        <v>88</v>
      </c>
      <c r="H17" s="1" t="s">
        <v>387</v>
      </c>
      <c r="I17" s="3" t="s">
        <v>404</v>
      </c>
      <c r="J17" s="3" t="s">
        <v>544</v>
      </c>
    </row>
    <row r="18" spans="4:10" ht="15.75">
      <c r="D18" s="35">
        <f>1-E18</f>
        <v>0.8</v>
      </c>
      <c r="E18" s="23">
        <v>0.2</v>
      </c>
      <c r="F18" s="23">
        <v>32</v>
      </c>
      <c r="G18" s="35">
        <f>(0.309701-0.00000555238*(J18+100)^1.1+0.0000000160444*(J18+100)^2.2-0.00000000000568436*(J18+100)^3.3+0.000000000000000856875*(J18+100)^4.4-0.0000000000000000000482474*(J18+100)^5.5)*J18</f>
        <v>31.89246156949176</v>
      </c>
      <c r="H18" s="35">
        <f>(0.317715-0.000574557*(J18+100)^0.7+0.0000164618*(J18+100)^1.4-0.000000119525*(J18+100)^2.1+0.000000000385185*(J18+100)^2.8-0.000000000000467365*(J18+100)^3.5)*J18</f>
        <v>32.43015372203296</v>
      </c>
      <c r="I18" s="35">
        <f>D18*G18+E18*H18</f>
        <v>32</v>
      </c>
      <c r="J18" s="35">
        <f>J18+2.5*(F18-I18)</f>
        <v>103.0533709720249</v>
      </c>
    </row>
    <row r="19" spans="3:9" ht="19.5">
      <c r="C19" s="2" t="s">
        <v>589</v>
      </c>
      <c r="D19" s="36" t="s">
        <v>642</v>
      </c>
      <c r="E19" s="36"/>
      <c r="F19" s="36"/>
      <c r="G19" s="36"/>
      <c r="H19" s="36"/>
      <c r="I19" s="8"/>
    </row>
    <row r="20" spans="3:9" ht="15">
      <c r="C20" s="1" t="s">
        <v>643</v>
      </c>
      <c r="D20" s="1" t="s">
        <v>644</v>
      </c>
      <c r="E20" s="1" t="s">
        <v>102</v>
      </c>
      <c r="F20" s="1" t="s">
        <v>645</v>
      </c>
      <c r="G20" s="1" t="s">
        <v>646</v>
      </c>
      <c r="H20" s="3" t="s">
        <v>369</v>
      </c>
      <c r="I20" s="3" t="s">
        <v>647</v>
      </c>
    </row>
    <row r="21" spans="4:9" ht="15.75">
      <c r="D21" s="35">
        <f>1-E21-F21-G21</f>
        <v>0.7000000000000001</v>
      </c>
      <c r="E21" s="23">
        <v>0.1</v>
      </c>
      <c r="F21" s="23">
        <v>0.1</v>
      </c>
      <c r="G21" s="23">
        <v>0.1</v>
      </c>
      <c r="H21" s="4">
        <v>32.47</v>
      </c>
      <c r="I21" s="35">
        <f>E21+F21</f>
        <v>0.2</v>
      </c>
    </row>
    <row r="22" spans="4:9" ht="15">
      <c r="D22" s="1" t="s">
        <v>88</v>
      </c>
      <c r="E22" s="1" t="s">
        <v>306</v>
      </c>
      <c r="F22" s="1" t="s">
        <v>371</v>
      </c>
      <c r="G22" s="1" t="s">
        <v>387</v>
      </c>
      <c r="H22" s="3" t="s">
        <v>404</v>
      </c>
      <c r="I22" s="3" t="s">
        <v>544</v>
      </c>
    </row>
    <row r="23" spans="4:9" ht="15.75">
      <c r="D23" s="35">
        <f>(0.309701-0.00000555238*(I23+100)^1.1+0.0000000160444*(I23+100)^2.2-0.00000000000568436*(I23+100)^3.3+0.000000000000000856875*(I23+100)^4.4-0.0000000000000000000482474*(I23+100)^5.5)*I23</f>
        <v>30.946399811876958</v>
      </c>
      <c r="E23" s="35">
        <f>(0.356179-0.0000326182*(I23+100)^0.8+0.00000129519*(I23+100)^1.6-0.00000000148934*(I23+100)^2.4-0.000000000000594678*(I23+100)^3.2+0.00000000000000129158*(I23+100)^4)*I23</f>
        <v>35.964396806829825</v>
      </c>
      <c r="F23" s="35">
        <f>(0.34584+0.0008688*(I23+100)^0.82-0.00000109945*(I23+100)^1.64+0.00000000054341*(I23+100)^2.46)*I23</f>
        <v>40.65242948834586</v>
      </c>
      <c r="G23" s="35">
        <f>(0.317715-0.000574557*(I23+100)^0.7+0.0000164618*(I23+100)^1.4-0.000000119525*(I23+100)^2.1+0.000000000385185*(I23+100)^2.8-0.000000000000467365*(I23+100)^3.5)*I23</f>
        <v>31.458375021685583</v>
      </c>
      <c r="H23" s="35">
        <f>D21*D23+E21*E23+F21*F23+G21*G23</f>
        <v>32.470000000000006</v>
      </c>
      <c r="I23" s="35">
        <f>I23+2.5*(H21-H23)</f>
        <v>100.00297080491751</v>
      </c>
    </row>
    <row r="24" ht="15">
      <c r="D24" s="1" t="s">
        <v>649</v>
      </c>
    </row>
    <row r="25" spans="2:4" ht="15">
      <c r="B25" s="1" t="s">
        <v>1122</v>
      </c>
      <c r="C25" s="1" t="s">
        <v>1123</v>
      </c>
      <c r="D25" s="1" t="s">
        <v>651</v>
      </c>
    </row>
    <row r="26" spans="4:10" ht="15">
      <c r="D26" s="1" t="s">
        <v>89</v>
      </c>
      <c r="H26" s="8"/>
      <c r="I26" s="8"/>
      <c r="J26" s="8"/>
    </row>
    <row r="27" spans="3:4" ht="15">
      <c r="C27" s="2" t="s">
        <v>591</v>
      </c>
      <c r="D27" s="1" t="s">
        <v>90</v>
      </c>
    </row>
    <row r="28" ht="15">
      <c r="D28" s="1" t="s">
        <v>91</v>
      </c>
    </row>
    <row r="29" spans="2:4" ht="15">
      <c r="B29" s="1" t="s">
        <v>510</v>
      </c>
      <c r="C29" s="2" t="s">
        <v>592</v>
      </c>
      <c r="D29" s="1" t="s">
        <v>92</v>
      </c>
    </row>
    <row r="31" spans="3:10" ht="15">
      <c r="C31" s="2" t="s">
        <v>1124</v>
      </c>
      <c r="D31" s="8" t="s">
        <v>1125</v>
      </c>
      <c r="E31" s="8"/>
      <c r="F31" s="8"/>
      <c r="G31" s="8"/>
      <c r="H31" s="8"/>
      <c r="I31" s="8"/>
      <c r="J31" s="8"/>
    </row>
    <row r="32" spans="3:10" ht="15">
      <c r="C32" s="2" t="s">
        <v>1126</v>
      </c>
      <c r="D32" s="8" t="s">
        <v>520</v>
      </c>
      <c r="E32" s="8" t="s">
        <v>1127</v>
      </c>
      <c r="F32" s="8"/>
      <c r="G32" s="8"/>
      <c r="H32" s="8"/>
      <c r="I32" s="8"/>
      <c r="J32" s="8"/>
    </row>
    <row r="33" spans="2:6" ht="15">
      <c r="B33" s="2" t="s">
        <v>1128</v>
      </c>
      <c r="C33" s="1" t="s">
        <v>520</v>
      </c>
      <c r="D33" s="1" t="s">
        <v>520</v>
      </c>
      <c r="F33" s="30" t="s">
        <v>1129</v>
      </c>
    </row>
    <row r="34" ht="15">
      <c r="D34" s="1" t="s">
        <v>715</v>
      </c>
    </row>
    <row r="35" spans="3:7" ht="15">
      <c r="C35" s="1" t="s">
        <v>32</v>
      </c>
      <c r="D35" s="1" t="s">
        <v>132</v>
      </c>
      <c r="E35" s="1" t="s">
        <v>716</v>
      </c>
      <c r="G35" s="1" t="s">
        <v>717</v>
      </c>
    </row>
    <row r="36" ht="15">
      <c r="D36" s="1" t="s">
        <v>718</v>
      </c>
    </row>
    <row r="37" spans="2:5" ht="15">
      <c r="B37" s="1" t="s">
        <v>1130</v>
      </c>
      <c r="C37" s="1" t="s">
        <v>720</v>
      </c>
      <c r="D37" s="1" t="s">
        <v>520</v>
      </c>
      <c r="E37" s="1" t="s">
        <v>150</v>
      </c>
    </row>
    <row r="38" ht="15">
      <c r="D38" s="1" t="s">
        <v>721</v>
      </c>
    </row>
    <row r="39" spans="2:5" ht="15">
      <c r="B39" s="1" t="s">
        <v>722</v>
      </c>
      <c r="C39" s="1" t="s">
        <v>723</v>
      </c>
      <c r="D39" s="1" t="s">
        <v>520</v>
      </c>
      <c r="E39" s="1" t="s">
        <v>724</v>
      </c>
    </row>
    <row r="40" ht="15">
      <c r="D40" s="1" t="s">
        <v>725</v>
      </c>
    </row>
    <row r="41" spans="3:5" ht="15">
      <c r="C41" s="1" t="s">
        <v>726</v>
      </c>
      <c r="D41" s="1" t="s">
        <v>520</v>
      </c>
      <c r="E41" s="1" t="s">
        <v>727</v>
      </c>
    </row>
    <row r="42" spans="3:6" ht="15">
      <c r="C42" s="1" t="s">
        <v>728</v>
      </c>
      <c r="D42" s="1" t="s">
        <v>520</v>
      </c>
      <c r="E42" s="1" t="s">
        <v>729</v>
      </c>
      <c r="F42" s="1" t="s">
        <v>730</v>
      </c>
    </row>
    <row r="43" spans="3:6" ht="15">
      <c r="C43" s="1" t="s">
        <v>731</v>
      </c>
      <c r="D43" s="1" t="s">
        <v>520</v>
      </c>
      <c r="F43" s="1" t="s">
        <v>732</v>
      </c>
    </row>
    <row r="44" spans="3:6" ht="15">
      <c r="C44" s="1" t="s">
        <v>733</v>
      </c>
      <c r="D44" s="1" t="s">
        <v>520</v>
      </c>
      <c r="F44" s="1" t="s">
        <v>734</v>
      </c>
    </row>
    <row r="45" spans="2:4" ht="15">
      <c r="B45" s="1" t="s">
        <v>735</v>
      </c>
      <c r="C45" s="1" t="s">
        <v>736</v>
      </c>
      <c r="D45" s="1" t="s">
        <v>737</v>
      </c>
    </row>
    <row r="46" ht="15">
      <c r="D46" s="1" t="s">
        <v>738</v>
      </c>
    </row>
    <row r="47" spans="2:12" ht="15">
      <c r="B47" s="1" t="s">
        <v>739</v>
      </c>
      <c r="C47" s="1" t="s">
        <v>740</v>
      </c>
      <c r="D47" s="1" t="s">
        <v>741</v>
      </c>
      <c r="J47" s="1" t="s">
        <v>742</v>
      </c>
      <c r="K47" s="24"/>
      <c r="L47" s="1" t="s">
        <v>743</v>
      </c>
    </row>
    <row r="48" ht="15">
      <c r="E48" s="1" t="s">
        <v>744</v>
      </c>
    </row>
    <row r="49" spans="3:4" ht="15">
      <c r="C49" s="1" t="s">
        <v>745</v>
      </c>
      <c r="D49" s="1" t="s">
        <v>746</v>
      </c>
    </row>
    <row r="50" spans="3:4" ht="15">
      <c r="C50" s="1" t="s">
        <v>1131</v>
      </c>
      <c r="D50" s="1" t="s">
        <v>1132</v>
      </c>
    </row>
    <row r="51" spans="3:7" ht="15">
      <c r="C51" s="1" t="s">
        <v>748</v>
      </c>
      <c r="D51" s="1" t="s">
        <v>749</v>
      </c>
      <c r="G51" s="1" t="s">
        <v>1133</v>
      </c>
    </row>
    <row r="52" spans="3:6" ht="15">
      <c r="C52" s="1" t="s">
        <v>1134</v>
      </c>
      <c r="D52" s="1" t="s">
        <v>1135</v>
      </c>
      <c r="F52" s="1" t="s">
        <v>1136</v>
      </c>
    </row>
    <row r="53" spans="3:7" ht="15">
      <c r="C53" s="1" t="s">
        <v>1137</v>
      </c>
      <c r="D53" s="1" t="s">
        <v>1138</v>
      </c>
      <c r="G53" s="1" t="s">
        <v>1139</v>
      </c>
    </row>
    <row r="54" spans="3:7" ht="15">
      <c r="C54" s="1" t="s">
        <v>1140</v>
      </c>
      <c r="D54" s="1" t="s">
        <v>1141</v>
      </c>
      <c r="G54" s="1" t="s">
        <v>1142</v>
      </c>
    </row>
    <row r="55" ht="15">
      <c r="D55" s="1" t="s">
        <v>1143</v>
      </c>
    </row>
    <row r="56" spans="3:4" ht="15">
      <c r="C56" s="1" t="s">
        <v>1144</v>
      </c>
      <c r="D56" s="1" t="s">
        <v>1145</v>
      </c>
    </row>
    <row r="57" spans="4:5" ht="15">
      <c r="D57" s="1" t="s">
        <v>1146</v>
      </c>
      <c r="E57" s="24"/>
    </row>
    <row r="58" spans="3:4" ht="15">
      <c r="C58" s="1" t="s">
        <v>1147</v>
      </c>
      <c r="D58" s="1" t="s">
        <v>1148</v>
      </c>
    </row>
    <row r="59" ht="15">
      <c r="E59" s="1" t="s">
        <v>751</v>
      </c>
    </row>
    <row r="60" spans="3:4" ht="15">
      <c r="C60" s="1" t="s">
        <v>745</v>
      </c>
      <c r="D60" s="1" t="s">
        <v>746</v>
      </c>
    </row>
    <row r="61" spans="2:9" ht="15">
      <c r="B61" s="1" t="s">
        <v>752</v>
      </c>
      <c r="C61" s="1" t="s">
        <v>753</v>
      </c>
      <c r="D61" s="1" t="s">
        <v>126</v>
      </c>
      <c r="I61" s="1" t="s">
        <v>754</v>
      </c>
    </row>
    <row r="62" spans="2:4" ht="15">
      <c r="B62" s="1" t="s">
        <v>755</v>
      </c>
      <c r="C62" s="1" t="s">
        <v>756</v>
      </c>
      <c r="D62" s="1" t="s">
        <v>757</v>
      </c>
    </row>
    <row r="63" spans="2:5" ht="15">
      <c r="B63" s="1" t="s">
        <v>758</v>
      </c>
      <c r="C63" s="1" t="s">
        <v>759</v>
      </c>
      <c r="D63" s="1" t="s">
        <v>520</v>
      </c>
      <c r="E63" s="1" t="s">
        <v>760</v>
      </c>
    </row>
    <row r="64" spans="4:5" ht="15">
      <c r="D64" s="1" t="s">
        <v>763</v>
      </c>
      <c r="E64" s="1" t="s">
        <v>764</v>
      </c>
    </row>
    <row r="65" spans="3:5" ht="15">
      <c r="C65" s="1" t="s">
        <v>766</v>
      </c>
      <c r="D65" s="1" t="s">
        <v>767</v>
      </c>
      <c r="E65" s="1" t="s">
        <v>317</v>
      </c>
    </row>
    <row r="66" spans="2:4" ht="15">
      <c r="B66" s="1" t="s">
        <v>768</v>
      </c>
      <c r="C66" s="1" t="s">
        <v>1149</v>
      </c>
      <c r="D66" s="1" t="s">
        <v>769</v>
      </c>
    </row>
    <row r="67" spans="2:4" ht="15">
      <c r="B67" s="1"/>
      <c r="C67" s="1"/>
      <c r="D67" s="1"/>
    </row>
    <row r="68" spans="3:12" ht="15">
      <c r="C68" s="1" t="s">
        <v>1150</v>
      </c>
      <c r="D68" s="8" t="s">
        <v>1151</v>
      </c>
      <c r="E68" s="8"/>
      <c r="F68" s="8"/>
      <c r="G68" s="8"/>
      <c r="H68" s="8"/>
      <c r="I68" s="8"/>
      <c r="J68" s="8"/>
      <c r="K68" s="8"/>
      <c r="L68" s="8"/>
    </row>
    <row r="69" spans="3:12" ht="15.75">
      <c r="C69" s="1"/>
      <c r="D69" s="8"/>
      <c r="E69" s="32" t="s">
        <v>6</v>
      </c>
      <c r="F69" s="8"/>
      <c r="G69" s="8"/>
      <c r="H69" s="8"/>
      <c r="I69" s="8"/>
      <c r="J69" s="8"/>
      <c r="K69" s="8"/>
      <c r="L69" s="8"/>
    </row>
    <row r="70" ht="15">
      <c r="E70" s="1" t="s">
        <v>1152</v>
      </c>
    </row>
    <row r="71" spans="2:4" ht="15">
      <c r="B71" s="2" t="s">
        <v>1153</v>
      </c>
      <c r="C71" s="1" t="s">
        <v>1154</v>
      </c>
      <c r="D71" s="1" t="s">
        <v>1155</v>
      </c>
    </row>
    <row r="72" spans="4:5" ht="15">
      <c r="D72" s="1" t="s">
        <v>120</v>
      </c>
      <c r="E72" s="1" t="s">
        <v>309</v>
      </c>
    </row>
    <row r="73" spans="4:12" ht="15">
      <c r="D73" s="3" t="s">
        <v>121</v>
      </c>
      <c r="E73" s="3" t="s">
        <v>310</v>
      </c>
      <c r="F73" s="3" t="s">
        <v>358</v>
      </c>
      <c r="G73" s="3" t="s">
        <v>359</v>
      </c>
      <c r="H73" s="3" t="s">
        <v>360</v>
      </c>
      <c r="I73" s="3" t="s">
        <v>361</v>
      </c>
      <c r="J73" s="3" t="s">
        <v>352</v>
      </c>
      <c r="K73" s="3" t="s">
        <v>402</v>
      </c>
      <c r="L73" s="3" t="s">
        <v>414</v>
      </c>
    </row>
    <row r="74" spans="3:12" ht="15.75">
      <c r="C74" s="1" t="s">
        <v>26</v>
      </c>
      <c r="D74" s="23">
        <v>0.2</v>
      </c>
      <c r="E74" s="23">
        <v>94</v>
      </c>
      <c r="F74" s="23">
        <v>1.2</v>
      </c>
      <c r="G74" s="23">
        <v>0.7</v>
      </c>
      <c r="H74" s="23">
        <v>0.4</v>
      </c>
      <c r="I74" s="23">
        <v>0.2</v>
      </c>
      <c r="J74" s="23">
        <v>3.3</v>
      </c>
      <c r="K74" s="23">
        <v>8560</v>
      </c>
      <c r="L74" s="23">
        <v>0.765</v>
      </c>
    </row>
    <row r="75" spans="4:5" ht="15">
      <c r="D75" s="1" t="s">
        <v>1156</v>
      </c>
      <c r="E75" s="1" t="s">
        <v>1157</v>
      </c>
    </row>
    <row r="76" spans="3:10" ht="15">
      <c r="C76" s="1" t="s">
        <v>1158</v>
      </c>
      <c r="D76" s="3" t="s">
        <v>662</v>
      </c>
      <c r="E76" s="3" t="s">
        <v>1159</v>
      </c>
      <c r="F76" s="3" t="s">
        <v>664</v>
      </c>
      <c r="G76" s="3" t="s">
        <v>665</v>
      </c>
      <c r="H76" s="3" t="s">
        <v>666</v>
      </c>
      <c r="I76" s="3" t="s">
        <v>402</v>
      </c>
      <c r="J76" s="3" t="s">
        <v>667</v>
      </c>
    </row>
    <row r="77" spans="3:10" ht="15.75">
      <c r="C77" s="1" t="s">
        <v>1160</v>
      </c>
      <c r="D77" s="23">
        <v>9.51</v>
      </c>
      <c r="E77" s="23">
        <v>1.01</v>
      </c>
      <c r="F77" s="23">
        <v>7.54</v>
      </c>
      <c r="G77" s="23">
        <v>2.13</v>
      </c>
      <c r="H77" s="23">
        <v>10.68</v>
      </c>
      <c r="I77" s="23">
        <v>8560</v>
      </c>
      <c r="J77" s="23">
        <v>3.08</v>
      </c>
    </row>
    <row r="78" spans="4:5" ht="15">
      <c r="D78" s="1" t="s">
        <v>1161</v>
      </c>
      <c r="E78" s="1" t="s">
        <v>1162</v>
      </c>
    </row>
    <row r="79" spans="4:10" ht="15">
      <c r="D79" s="3" t="s">
        <v>694</v>
      </c>
      <c r="E79" s="3" t="s">
        <v>1030</v>
      </c>
      <c r="F79" s="3" t="s">
        <v>312</v>
      </c>
      <c r="G79" s="3" t="s">
        <v>1163</v>
      </c>
      <c r="H79" s="3" t="s">
        <v>1164</v>
      </c>
      <c r="I79" s="3" t="s">
        <v>1165</v>
      </c>
      <c r="J79" s="3" t="s">
        <v>699</v>
      </c>
    </row>
    <row r="80" spans="4:10" ht="15.75">
      <c r="D80" s="23">
        <v>1.2</v>
      </c>
      <c r="E80" s="31">
        <f>D77*D80</f>
        <v>11.411999999999999</v>
      </c>
      <c r="F80" s="31">
        <f>E77</f>
        <v>1.01</v>
      </c>
      <c r="G80" s="31">
        <f>F77+0.79*(E80-D77)</f>
        <v>9.04258</v>
      </c>
      <c r="H80" s="31">
        <f>G77</f>
        <v>2.13</v>
      </c>
      <c r="I80" s="31">
        <f>0.21*(E80-D77)</f>
        <v>0.39941999999999983</v>
      </c>
      <c r="J80" s="31">
        <f>F80+G80+H80+I80</f>
        <v>12.581999999999997</v>
      </c>
    </row>
    <row r="81" ht="15">
      <c r="E81" s="1" t="s">
        <v>1166</v>
      </c>
    </row>
    <row r="82" spans="3:9" ht="15">
      <c r="C82" s="1" t="s">
        <v>1167</v>
      </c>
      <c r="D82" s="3" t="s">
        <v>1168</v>
      </c>
      <c r="E82" s="3" t="s">
        <v>402</v>
      </c>
      <c r="F82" s="3" t="s">
        <v>403</v>
      </c>
      <c r="G82" s="3" t="s">
        <v>1169</v>
      </c>
      <c r="H82" s="3" t="s">
        <v>707</v>
      </c>
      <c r="I82" s="3" t="s">
        <v>1170</v>
      </c>
    </row>
    <row r="83" spans="4:9" ht="15.75">
      <c r="D83" s="23">
        <v>340</v>
      </c>
      <c r="E83" s="31">
        <f>K74</f>
        <v>8560</v>
      </c>
      <c r="F83" s="31">
        <f>(0.0534122+0.00000086718*D83+0.0000000264098*D83^2-0.0000000000210894*D83^3+0.00000000000000709675*D83^4-0.000000000000000000897019*D83^5)^0.4</f>
        <v>0.3157497842860821</v>
      </c>
      <c r="G83" s="31">
        <f>E80*F83*D83</f>
        <v>1225.1344230127413</v>
      </c>
      <c r="H83" s="31">
        <f>E83+G83</f>
        <v>9785.134423012742</v>
      </c>
      <c r="I83" s="31">
        <f>H83/J80</f>
        <v>777.7089829131095</v>
      </c>
    </row>
    <row r="84" spans="1:12" ht="15">
      <c r="A84" s="1" t="s">
        <v>1171</v>
      </c>
      <c r="B84" s="1" t="s">
        <v>1172</v>
      </c>
      <c r="L84" s="24"/>
    </row>
    <row r="85" ht="15">
      <c r="E85" s="1" t="s">
        <v>1173</v>
      </c>
    </row>
    <row r="86" spans="3:9" ht="15">
      <c r="C86" s="1" t="s">
        <v>643</v>
      </c>
      <c r="D86" s="1" t="s">
        <v>644</v>
      </c>
      <c r="E86" s="1" t="s">
        <v>102</v>
      </c>
      <c r="F86" s="1" t="s">
        <v>645</v>
      </c>
      <c r="G86" s="1" t="s">
        <v>646</v>
      </c>
      <c r="H86" s="3" t="s">
        <v>369</v>
      </c>
      <c r="I86" s="3" t="s">
        <v>647</v>
      </c>
    </row>
    <row r="87" spans="4:9" ht="15.75">
      <c r="D87" s="31">
        <f>G80/J80</f>
        <v>0.7186917819106661</v>
      </c>
      <c r="E87" s="31">
        <f>H80/J80</f>
        <v>0.16928946113495472</v>
      </c>
      <c r="F87" s="31">
        <f>F80/J80</f>
        <v>0.08027340645366399</v>
      </c>
      <c r="G87" s="31">
        <f>I80/J80</f>
        <v>0.0317453505007153</v>
      </c>
      <c r="H87" s="31">
        <f>I83</f>
        <v>777.7089829131095</v>
      </c>
      <c r="I87" s="31">
        <f>E87+F87</f>
        <v>0.2495628675886187</v>
      </c>
    </row>
    <row r="88" spans="4:9" ht="15">
      <c r="D88" s="1" t="s">
        <v>88</v>
      </c>
      <c r="E88" s="1" t="s">
        <v>306</v>
      </c>
      <c r="F88" s="1" t="s">
        <v>371</v>
      </c>
      <c r="G88" s="1" t="s">
        <v>387</v>
      </c>
      <c r="H88" s="3" t="s">
        <v>404</v>
      </c>
      <c r="I88" s="3" t="s">
        <v>544</v>
      </c>
    </row>
    <row r="89" spans="4:9" ht="15.75">
      <c r="D89" s="31">
        <f>(0.309701-0.00000555238*(I89+100)^1.1+0.0000000160444*(I89+100)^2.2-0.00000000000568436*(I89+100)^3.3+0.000000000000000856875*(I89+100)^4.4-0.0000000000000000000482474*(I89+100)^5.5)*I89</f>
        <v>702.3028109440273</v>
      </c>
      <c r="E89" s="31">
        <f>(0.356179-0.0000326182*(I89+100)^0.8+0.00000129519*(I89+100)^1.6-0.00000000148934*(I89+100)^2.4-0.000000000000594678*(I89+100)^3.2+0.00000000000000129158*(I89+100)^4)*I89</f>
        <v>929.162727775413</v>
      </c>
      <c r="F89" s="31">
        <f>(0.34584+0.0008688*(I89+100)^0.82-0.00000109945*(I89+100)^1.64+0.00000000054341*(I89+100)^2.46)*I89</f>
        <v>1147.0201079382643</v>
      </c>
      <c r="G89" s="31">
        <f>(0.317715-0.000574557*(I89+100)^0.7+0.0000164618*(I89+100)^1.4-0.000000119525*(I89+100)^2.1+0.000000000385185*(I89+100)^2.8-0.000000000000467365*(I89+100)^3.5)*I89</f>
        <v>743.3231977546752</v>
      </c>
      <c r="H89" s="31">
        <f>D87*D89+E87*E89+F87*F89+G87*G89</f>
        <v>777.7089829131054</v>
      </c>
      <c r="I89" s="31">
        <f>I89+2.5*(H87-H89)</f>
        <v>1984.9648602835116</v>
      </c>
    </row>
    <row r="90" spans="4:9" ht="15.75">
      <c r="D90" s="31"/>
      <c r="E90" s="31"/>
      <c r="F90" s="31"/>
      <c r="G90" s="31"/>
      <c r="H90" s="31"/>
      <c r="I90" s="31"/>
    </row>
    <row r="91" spans="2:12" ht="15">
      <c r="B91" s="2" t="s">
        <v>812</v>
      </c>
      <c r="C91" s="1" t="s">
        <v>1174</v>
      </c>
      <c r="D91" s="8" t="s">
        <v>1175</v>
      </c>
      <c r="E91" s="8"/>
      <c r="F91" s="8"/>
      <c r="G91" s="8"/>
      <c r="H91" s="8"/>
      <c r="I91" s="8"/>
      <c r="J91" s="8"/>
      <c r="K91" s="8"/>
      <c r="L91" s="8"/>
    </row>
    <row r="92" ht="15">
      <c r="E92" s="1" t="s">
        <v>1176</v>
      </c>
    </row>
    <row r="93" spans="4:12" ht="15">
      <c r="D93" s="3" t="s">
        <v>815</v>
      </c>
      <c r="E93" s="3" t="s">
        <v>816</v>
      </c>
      <c r="F93" s="3" t="s">
        <v>817</v>
      </c>
      <c r="G93" s="3" t="s">
        <v>102</v>
      </c>
      <c r="H93" s="3" t="s">
        <v>647</v>
      </c>
      <c r="I93" s="3" t="s">
        <v>667</v>
      </c>
      <c r="J93" s="3" t="s">
        <v>694</v>
      </c>
      <c r="K93" s="3" t="s">
        <v>707</v>
      </c>
      <c r="L93" s="3" t="s">
        <v>818</v>
      </c>
    </row>
    <row r="94" spans="4:12" ht="15.75">
      <c r="D94" s="23">
        <v>6.3</v>
      </c>
      <c r="E94" s="23">
        <v>0.1</v>
      </c>
      <c r="F94" s="23">
        <v>1</v>
      </c>
      <c r="G94" s="31">
        <f>E87</f>
        <v>0.16928946113495472</v>
      </c>
      <c r="H94" s="31">
        <f>E87+F87</f>
        <v>0.2495628675886187</v>
      </c>
      <c r="I94" s="31">
        <f>J77</f>
        <v>3.08</v>
      </c>
      <c r="J94" s="31">
        <f>D80</f>
        <v>1.2</v>
      </c>
      <c r="K94" s="31">
        <f>H83</f>
        <v>9785.134423012742</v>
      </c>
      <c r="L94" s="31">
        <f>I89+273</f>
        <v>2257.9648602835114</v>
      </c>
    </row>
    <row r="95" spans="4:12" ht="15">
      <c r="D95" s="3" t="s">
        <v>819</v>
      </c>
      <c r="E95" s="3" t="s">
        <v>820</v>
      </c>
      <c r="F95" s="3" t="s">
        <v>821</v>
      </c>
      <c r="G95" s="3" t="s">
        <v>822</v>
      </c>
      <c r="H95" s="3" t="s">
        <v>823</v>
      </c>
      <c r="I95" s="3" t="s">
        <v>824</v>
      </c>
      <c r="J95" s="3" t="s">
        <v>825</v>
      </c>
      <c r="L95" s="24" t="s">
        <v>826</v>
      </c>
    </row>
    <row r="96" spans="4:12" ht="15.75">
      <c r="D96" s="23">
        <v>0.55</v>
      </c>
      <c r="E96" s="31">
        <f>((0.78+1.6*G94)/(F94*H94*D94)^0.5-0.1)*(1-0.37*L96/1000)</f>
        <v>0.34663063812628825</v>
      </c>
      <c r="F96" s="31">
        <f>0.03*(2-J94)*(1.6*L96/1000-0.5)*I94</f>
        <v>0.13257243284221648</v>
      </c>
      <c r="G96" s="31">
        <f>1-EXP(-E96*H94*F94*D94)</f>
        <v>0.42015163952544266</v>
      </c>
      <c r="H96" s="31">
        <f>1-EXP(-(E96*H94+F96)*F94*D94)</f>
        <v>0.7484704959479345</v>
      </c>
      <c r="I96" s="31">
        <f>E94*H96+(1-E94)*G96</f>
        <v>0.45298352516769186</v>
      </c>
      <c r="J96" s="31">
        <f>I96/(I96+(1-I96)*D96)</f>
        <v>0.6008993566889339</v>
      </c>
      <c r="L96" s="33">
        <f>L106</f>
        <v>1433.4113978136552</v>
      </c>
    </row>
    <row r="97" spans="4:5" ht="15">
      <c r="D97" s="2" t="s">
        <v>827</v>
      </c>
      <c r="E97" s="1" t="s">
        <v>828</v>
      </c>
    </row>
    <row r="98" spans="4:8" ht="15">
      <c r="D98" s="3" t="s">
        <v>312</v>
      </c>
      <c r="E98" s="3" t="s">
        <v>1163</v>
      </c>
      <c r="F98" s="3" t="s">
        <v>1164</v>
      </c>
      <c r="G98" s="3" t="s">
        <v>1165</v>
      </c>
      <c r="H98" s="3" t="s">
        <v>544</v>
      </c>
    </row>
    <row r="99" spans="4:8" ht="15.75">
      <c r="D99" s="31">
        <f>F80</f>
        <v>1.01</v>
      </c>
      <c r="E99" s="31">
        <f>G80</f>
        <v>9.04258</v>
      </c>
      <c r="F99" s="31">
        <f>H80</f>
        <v>2.13</v>
      </c>
      <c r="G99" s="31">
        <f>I80</f>
        <v>0.39941999999999983</v>
      </c>
      <c r="H99" s="31">
        <f>L96-273</f>
        <v>1160.4113978136552</v>
      </c>
    </row>
    <row r="100" spans="4:8" ht="15">
      <c r="D100" s="1" t="s">
        <v>371</v>
      </c>
      <c r="E100" s="1" t="s">
        <v>88</v>
      </c>
      <c r="F100" s="1" t="s">
        <v>306</v>
      </c>
      <c r="G100" s="1" t="s">
        <v>387</v>
      </c>
      <c r="H100" s="3" t="s">
        <v>833</v>
      </c>
    </row>
    <row r="101" spans="4:8" ht="15.75">
      <c r="D101" s="31">
        <f>(0.34584+0.0008688*(H99+100)^0.82-0.00000109945*(H99+100)^1.64+0.00000000054341*(H99+100)^2.46)*H99</f>
        <v>624.462573534743</v>
      </c>
      <c r="E101" s="31">
        <f>(0.309701-0.00000555238*(H99+100)^1.1+0.0000000160444*(H99+100)^2.2-0.00000000000568436*(H99+100)^3.3+0.000000000000000856875*(H99+100)^4.4-0.0000000000000000000482474*(H99+100)^5.5)*H99</f>
        <v>390.976859419393</v>
      </c>
      <c r="F101" s="31">
        <f>(0.356179-0.0000326182*(H99+100)^0.8+0.00000129519*(H99+100)^1.6-0.00000000148934*(H99+100)^2.4-0.000000000000594678*(H99+100)^3.2+0.00000000000000129158*(H99+100)^4)*H99</f>
        <v>489.48885471685355</v>
      </c>
      <c r="G101" s="31">
        <f>(0.317715-0.000574557*(H99+100)^0.7+0.0000164618*(H99+100)^1.4-0.000000119525*(H99+100)^2.1+0.000000000385185*(H99+100)^2.8-0.000000000000467365*(H99+100)^3.5)*H99</f>
        <v>414.7477934656984</v>
      </c>
      <c r="H101" s="31">
        <f>SUMPRODUCT(D99:G99,D101:G101)</f>
        <v>5374.416552931672</v>
      </c>
    </row>
    <row r="102" ht="15">
      <c r="C102" s="1" t="s">
        <v>834</v>
      </c>
    </row>
    <row r="103" spans="4:12" ht="15">
      <c r="D103" s="3" t="s">
        <v>835</v>
      </c>
      <c r="E103" s="3" t="s">
        <v>836</v>
      </c>
      <c r="F103" s="3" t="s">
        <v>837</v>
      </c>
      <c r="G103" s="3" t="s">
        <v>838</v>
      </c>
      <c r="H103" s="3" t="s">
        <v>819</v>
      </c>
      <c r="I103" s="3" t="s">
        <v>707</v>
      </c>
      <c r="J103" s="3" t="s">
        <v>833</v>
      </c>
      <c r="K103" s="3" t="s">
        <v>818</v>
      </c>
      <c r="L103" s="3" t="s">
        <v>826</v>
      </c>
    </row>
    <row r="104" spans="4:12" ht="15.75">
      <c r="D104" s="23">
        <v>16000</v>
      </c>
      <c r="E104" s="23">
        <v>0.445</v>
      </c>
      <c r="F104" s="23">
        <v>700</v>
      </c>
      <c r="G104" s="23">
        <v>0.6</v>
      </c>
      <c r="H104" s="31">
        <f>D96</f>
        <v>0.55</v>
      </c>
      <c r="I104" s="31">
        <f>K94</f>
        <v>9785.134423012742</v>
      </c>
      <c r="J104" s="31">
        <f>H101</f>
        <v>5374.416552931672</v>
      </c>
      <c r="K104" s="31">
        <f>L94</f>
        <v>2257.9648602835114</v>
      </c>
      <c r="L104" s="31">
        <f>L96</f>
        <v>1433.4113978136552</v>
      </c>
    </row>
    <row r="105" spans="3:12" ht="15">
      <c r="C105" s="24" t="s">
        <v>1177</v>
      </c>
      <c r="D105" s="3" t="s">
        <v>840</v>
      </c>
      <c r="E105" s="3" t="s">
        <v>841</v>
      </c>
      <c r="F105" s="3" t="s">
        <v>842</v>
      </c>
      <c r="G105" s="24" t="s">
        <v>1033</v>
      </c>
      <c r="H105" s="24" t="s">
        <v>846</v>
      </c>
      <c r="I105" s="24" t="s">
        <v>847</v>
      </c>
      <c r="K105" s="3" t="s">
        <v>825</v>
      </c>
      <c r="L105" s="24" t="s">
        <v>843</v>
      </c>
    </row>
    <row r="106" spans="4:12" ht="15.75">
      <c r="D106" s="31">
        <f>1-G104/100</f>
        <v>0.994</v>
      </c>
      <c r="E106" s="31">
        <f>(I104-J104)/(K104-L104)</f>
        <v>5.349219997050604</v>
      </c>
      <c r="F106" s="31">
        <f>D106*D104*E106/(0.000000049*H104*F104*K104^3)</f>
        <v>0.39173148622164394</v>
      </c>
      <c r="G106" s="23">
        <v>0.94</v>
      </c>
      <c r="H106" s="31">
        <f>D104*(I104*D106-J104)</f>
        <v>69632113.01668788</v>
      </c>
      <c r="I106" s="31">
        <f>G106*H106</f>
        <v>65454186.23568661</v>
      </c>
      <c r="K106" s="31">
        <f>J96</f>
        <v>0.6008993566889339</v>
      </c>
      <c r="L106" s="33">
        <f>K104*F106^0.6/(E104*K106^0.6+F106^0.6)</f>
        <v>1433.4113978136538</v>
      </c>
    </row>
    <row r="107" spans="4:9" ht="15">
      <c r="D107" s="1" t="s">
        <v>1178</v>
      </c>
      <c r="E107" s="1" t="s">
        <v>774</v>
      </c>
      <c r="H107" s="1" t="s">
        <v>1179</v>
      </c>
      <c r="I107" s="1" t="s">
        <v>1180</v>
      </c>
    </row>
    <row r="108" spans="1:11" ht="15">
      <c r="A108" s="1" t="s">
        <v>1181</v>
      </c>
      <c r="B108" s="1" t="s">
        <v>1182</v>
      </c>
      <c r="C108" s="8" t="s">
        <v>1183</v>
      </c>
      <c r="D108" s="8"/>
      <c r="E108" s="8"/>
      <c r="F108" s="8"/>
      <c r="G108" s="8"/>
      <c r="H108" s="8"/>
      <c r="I108" s="8"/>
      <c r="J108" s="8"/>
      <c r="K108" s="8"/>
    </row>
    <row r="109" spans="3:4" ht="15">
      <c r="C109" s="1" t="s">
        <v>1184</v>
      </c>
      <c r="D109" s="1" t="s">
        <v>1185</v>
      </c>
    </row>
    <row r="110" spans="3:4" ht="15">
      <c r="C110" s="1" t="s">
        <v>1186</v>
      </c>
      <c r="D110" s="1" t="s">
        <v>1187</v>
      </c>
    </row>
    <row r="111" spans="3:4" ht="15">
      <c r="C111" s="1" t="s">
        <v>1188</v>
      </c>
      <c r="D111" s="1" t="s">
        <v>1189</v>
      </c>
    </row>
    <row r="112" spans="4:11" ht="15.75">
      <c r="D112" s="19" t="s">
        <v>1190</v>
      </c>
      <c r="E112" s="10">
        <v>1.8</v>
      </c>
      <c r="F112" s="19" t="s">
        <v>1191</v>
      </c>
      <c r="G112" s="10">
        <v>0.3</v>
      </c>
      <c r="H112" s="19" t="s">
        <v>1192</v>
      </c>
      <c r="I112" s="34">
        <f>K104</f>
        <v>2257.9648602835114</v>
      </c>
      <c r="J112" s="19" t="s">
        <v>1193</v>
      </c>
      <c r="K112" s="34">
        <f>L106</f>
        <v>1433.4113978136538</v>
      </c>
    </row>
    <row r="113" spans="3:12" ht="15.75">
      <c r="C113" s="5" t="s">
        <v>1194</v>
      </c>
      <c r="D113" s="23">
        <v>0.1</v>
      </c>
      <c r="E113" s="23">
        <v>0.2</v>
      </c>
      <c r="F113" s="23">
        <v>0.3</v>
      </c>
      <c r="G113" s="23">
        <v>0.4</v>
      </c>
      <c r="H113" s="23">
        <v>0.5</v>
      </c>
      <c r="I113" s="23">
        <v>0.6</v>
      </c>
      <c r="J113" s="23">
        <v>0.7</v>
      </c>
      <c r="K113" s="23">
        <v>0.85</v>
      </c>
      <c r="L113" s="23">
        <v>1</v>
      </c>
    </row>
    <row r="114" spans="3:12" ht="15.75">
      <c r="C114" s="5" t="s">
        <v>1195</v>
      </c>
      <c r="D114" s="31">
        <f aca="true" t="shared" si="0" ref="D114:L114">$I$112*$E$112^((1-D113)/4)*D113^(-$G$112*LN($K$112/$I$112/$E$112^0.25))*($K$112/$I$112)^D113</f>
        <v>1625.596846059345</v>
      </c>
      <c r="E114" s="31">
        <f t="shared" si="0"/>
        <v>1734.6186994471839</v>
      </c>
      <c r="F114" s="31">
        <f t="shared" si="0"/>
        <v>1757.3388105443046</v>
      </c>
      <c r="G114" s="31">
        <f t="shared" si="0"/>
        <v>1742.9252214040323</v>
      </c>
      <c r="H114" s="31">
        <f t="shared" si="0"/>
        <v>1708.6198925056815</v>
      </c>
      <c r="I114" s="31">
        <f t="shared" si="0"/>
        <v>1662.699575691109</v>
      </c>
      <c r="J114" s="31">
        <f t="shared" si="0"/>
        <v>1609.8111982153534</v>
      </c>
      <c r="K114" s="31">
        <f t="shared" si="0"/>
        <v>1523.3941063447967</v>
      </c>
      <c r="L114" s="31">
        <f t="shared" si="0"/>
        <v>1433.4113978136538</v>
      </c>
    </row>
    <row r="115" spans="3:8" ht="15">
      <c r="C115" s="1" t="s">
        <v>1196</v>
      </c>
      <c r="D115" s="8" t="s">
        <v>1197</v>
      </c>
      <c r="E115" s="8"/>
      <c r="F115" s="8"/>
      <c r="G115" s="8"/>
      <c r="H115" s="8"/>
    </row>
    <row r="116" spans="3:4" ht="15">
      <c r="C116" s="1" t="s">
        <v>1198</v>
      </c>
      <c r="D116" s="1" t="s">
        <v>1199</v>
      </c>
    </row>
    <row r="117" spans="2:3" ht="15">
      <c r="B117" s="1" t="s">
        <v>1200</v>
      </c>
      <c r="C117" s="1" t="s">
        <v>783</v>
      </c>
    </row>
    <row r="118" spans="2:3" ht="15">
      <c r="B118" s="1" t="s">
        <v>1201</v>
      </c>
      <c r="C118" s="1" t="s">
        <v>785</v>
      </c>
    </row>
    <row r="119" ht="15">
      <c r="E119" s="1" t="s">
        <v>1202</v>
      </c>
    </row>
    <row r="120" spans="2:4" ht="15">
      <c r="B120" s="1" t="s">
        <v>1203</v>
      </c>
      <c r="C120" s="1" t="s">
        <v>1204</v>
      </c>
      <c r="D120" s="1" t="s">
        <v>1205</v>
      </c>
    </row>
    <row r="121" spans="4:10" ht="15">
      <c r="D121" s="3" t="s">
        <v>852</v>
      </c>
      <c r="E121" s="3" t="s">
        <v>109</v>
      </c>
      <c r="F121" s="3" t="s">
        <v>847</v>
      </c>
      <c r="G121" s="3" t="s">
        <v>853</v>
      </c>
      <c r="H121" s="3" t="s">
        <v>856</v>
      </c>
      <c r="I121" s="3" t="s">
        <v>857</v>
      </c>
      <c r="J121" s="3" t="s">
        <v>858</v>
      </c>
    </row>
    <row r="122" spans="4:10" ht="15.75">
      <c r="D122" s="23">
        <v>300</v>
      </c>
      <c r="E122" s="23">
        <v>100</v>
      </c>
      <c r="F122" s="31">
        <f>I106</f>
        <v>65454186.23568661</v>
      </c>
      <c r="G122" s="4">
        <v>2.5</v>
      </c>
      <c r="H122" s="31">
        <f>675.292-0.019276*E122^1.5-0.0000042803*E122^3</f>
        <v>651.7357</v>
      </c>
      <c r="I122" s="31">
        <f>161.307+6.16086*E122^0.8-0.0626355*E122^1.6+0.000426786*E122^2.4</f>
        <v>334.23305284335623</v>
      </c>
      <c r="J122" s="31">
        <f>F122/(H122-D122+I122*G122/100)</f>
        <v>181770.97057630532</v>
      </c>
    </row>
    <row r="123" ht="15">
      <c r="E123" s="1" t="s">
        <v>1206</v>
      </c>
    </row>
    <row r="124" spans="5:6" ht="15">
      <c r="E124" s="24" t="s">
        <v>1207</v>
      </c>
      <c r="F124" s="1" t="s">
        <v>778</v>
      </c>
    </row>
    <row r="126" spans="4:5" ht="15">
      <c r="D126" s="1" t="s">
        <v>870</v>
      </c>
      <c r="E126" s="1" t="s">
        <v>328</v>
      </c>
    </row>
    <row r="127" spans="2:3" ht="15">
      <c r="B127" s="1" t="s">
        <v>871</v>
      </c>
      <c r="C127" s="1" t="s">
        <v>36</v>
      </c>
    </row>
    <row r="128" spans="1:3" ht="15">
      <c r="A128" s="24" t="s">
        <v>873</v>
      </c>
      <c r="B128" s="1" t="s">
        <v>874</v>
      </c>
      <c r="C128" s="1" t="s">
        <v>37</v>
      </c>
    </row>
    <row r="129" spans="3:10" ht="15">
      <c r="C129" s="24" t="s">
        <v>1208</v>
      </c>
      <c r="D129" s="1" t="s">
        <v>1206</v>
      </c>
      <c r="J129" s="1" t="s">
        <v>778</v>
      </c>
    </row>
    <row r="130" ht="15">
      <c r="D130" s="1" t="s">
        <v>1209</v>
      </c>
    </row>
    <row r="131" spans="3:9" ht="15">
      <c r="C131" s="1" t="s">
        <v>876</v>
      </c>
      <c r="D131" s="1" t="s">
        <v>877</v>
      </c>
      <c r="E131" s="1" t="s">
        <v>160</v>
      </c>
      <c r="H131" s="2" t="s">
        <v>878</v>
      </c>
      <c r="I131" s="3" t="s">
        <v>161</v>
      </c>
    </row>
    <row r="132" spans="2:4" ht="15">
      <c r="B132" s="2" t="s">
        <v>879</v>
      </c>
      <c r="C132" s="1" t="s">
        <v>880</v>
      </c>
      <c r="D132" s="1" t="s">
        <v>162</v>
      </c>
    </row>
    <row r="133" spans="3:9" ht="15">
      <c r="C133" s="1" t="s">
        <v>881</v>
      </c>
      <c r="D133" s="1" t="s">
        <v>163</v>
      </c>
      <c r="I133" s="1" t="s">
        <v>405</v>
      </c>
    </row>
    <row r="134" spans="2:9" ht="15">
      <c r="B134" s="1" t="s">
        <v>882</v>
      </c>
      <c r="C134" s="1" t="s">
        <v>883</v>
      </c>
      <c r="D134" s="1" t="s">
        <v>164</v>
      </c>
      <c r="I134" s="1" t="s">
        <v>406</v>
      </c>
    </row>
    <row r="135" spans="2:6" ht="15">
      <c r="B135" s="1" t="s">
        <v>884</v>
      </c>
      <c r="C135" s="1" t="s">
        <v>885</v>
      </c>
      <c r="D135" s="1" t="s">
        <v>165</v>
      </c>
      <c r="F135" s="1" t="s">
        <v>886</v>
      </c>
    </row>
    <row r="136" spans="3:9" ht="15">
      <c r="C136" s="1" t="s">
        <v>887</v>
      </c>
      <c r="D136" s="1" t="s">
        <v>888</v>
      </c>
      <c r="I136" s="1" t="s">
        <v>889</v>
      </c>
    </row>
    <row r="137" spans="4:5" ht="15">
      <c r="D137" s="1" t="s">
        <v>890</v>
      </c>
      <c r="E137" s="1" t="s">
        <v>329</v>
      </c>
    </row>
    <row r="138" spans="4:5" ht="15">
      <c r="D138" s="1" t="s">
        <v>891</v>
      </c>
      <c r="E138" s="1" t="s">
        <v>330</v>
      </c>
    </row>
    <row r="139" spans="4:5" ht="15">
      <c r="D139" s="1" t="s">
        <v>1210</v>
      </c>
      <c r="E139" s="1" t="s">
        <v>893</v>
      </c>
    </row>
    <row r="140" spans="4:9" ht="15">
      <c r="D140" s="1" t="s">
        <v>181</v>
      </c>
      <c r="I140" s="1" t="s">
        <v>894</v>
      </c>
    </row>
    <row r="141" spans="3:9" ht="15">
      <c r="C141" s="1" t="s">
        <v>895</v>
      </c>
      <c r="D141" s="1" t="s">
        <v>1211</v>
      </c>
      <c r="I141" s="1" t="s">
        <v>897</v>
      </c>
    </row>
    <row r="142" ht="15">
      <c r="D142" s="1" t="s">
        <v>898</v>
      </c>
    </row>
    <row r="143" spans="3:4" ht="15">
      <c r="C143" s="1" t="s">
        <v>899</v>
      </c>
      <c r="D143" s="1" t="s">
        <v>900</v>
      </c>
    </row>
    <row r="144" ht="15">
      <c r="E144" s="1" t="s">
        <v>901</v>
      </c>
    </row>
    <row r="145" spans="3:4" ht="15">
      <c r="C145" s="1" t="s">
        <v>902</v>
      </c>
      <c r="D145" s="1" t="s">
        <v>903</v>
      </c>
    </row>
    <row r="146" spans="3:7" ht="15">
      <c r="C146" s="1" t="s">
        <v>904</v>
      </c>
      <c r="D146" s="1" t="s">
        <v>905</v>
      </c>
      <c r="G146" s="1" t="s">
        <v>906</v>
      </c>
    </row>
    <row r="147" spans="3:10" ht="15">
      <c r="C147" s="1" t="s">
        <v>907</v>
      </c>
      <c r="D147" s="1" t="s">
        <v>908</v>
      </c>
      <c r="H147" s="1" t="s">
        <v>909</v>
      </c>
      <c r="J147" s="1" t="s">
        <v>1212</v>
      </c>
    </row>
    <row r="148" ht="15">
      <c r="E148" s="1" t="s">
        <v>340</v>
      </c>
    </row>
    <row r="149" spans="2:12" ht="15">
      <c r="B149" s="1" t="s">
        <v>911</v>
      </c>
      <c r="C149" s="1" t="s">
        <v>912</v>
      </c>
      <c r="D149" s="1" t="s">
        <v>913</v>
      </c>
      <c r="L149" s="1" t="s">
        <v>914</v>
      </c>
    </row>
    <row r="150" ht="15">
      <c r="D150" s="1" t="s">
        <v>915</v>
      </c>
    </row>
    <row r="151" spans="3:5" ht="15">
      <c r="C151" s="1" t="s">
        <v>916</v>
      </c>
      <c r="D151" s="1" t="s">
        <v>192</v>
      </c>
      <c r="E151" s="1" t="s">
        <v>319</v>
      </c>
    </row>
    <row r="152" spans="3:10" ht="15">
      <c r="C152" s="1" t="s">
        <v>1213</v>
      </c>
      <c r="D152" s="1" t="s">
        <v>193</v>
      </c>
      <c r="E152" s="1" t="s">
        <v>320</v>
      </c>
      <c r="G152" s="1" t="s">
        <v>1214</v>
      </c>
      <c r="H152" s="1" t="s">
        <v>1215</v>
      </c>
      <c r="J152" s="1" t="s">
        <v>1216</v>
      </c>
    </row>
    <row r="153" spans="3:10" ht="15">
      <c r="C153" s="1" t="s">
        <v>918</v>
      </c>
      <c r="D153" s="1" t="s">
        <v>194</v>
      </c>
      <c r="J153" s="1" t="s">
        <v>919</v>
      </c>
    </row>
    <row r="154" ht="15">
      <c r="D154" s="1" t="s">
        <v>920</v>
      </c>
    </row>
    <row r="155" spans="1:9" ht="15">
      <c r="A155" s="1" t="s">
        <v>1217</v>
      </c>
      <c r="B155" s="1" t="s">
        <v>521</v>
      </c>
      <c r="E155" s="24"/>
      <c r="F155" s="24"/>
      <c r="G155" s="24"/>
      <c r="H155" s="24"/>
      <c r="I155" s="24"/>
    </row>
    <row r="156" spans="3:4" ht="15">
      <c r="C156" s="1" t="s">
        <v>1218</v>
      </c>
      <c r="D156" s="1" t="s">
        <v>196</v>
      </c>
    </row>
    <row r="157" ht="15">
      <c r="D157" s="1" t="s">
        <v>197</v>
      </c>
    </row>
    <row r="158" spans="3:11" ht="15">
      <c r="C158" s="1" t="s">
        <v>1219</v>
      </c>
      <c r="D158" s="1" t="s">
        <v>198</v>
      </c>
      <c r="J158" s="24" t="s">
        <v>409</v>
      </c>
      <c r="K158" s="24"/>
    </row>
    <row r="159" ht="15">
      <c r="D159" s="1" t="s">
        <v>199</v>
      </c>
    </row>
    <row r="160" ht="15">
      <c r="D160" s="1" t="s">
        <v>200</v>
      </c>
    </row>
    <row r="161" spans="2:7" ht="15">
      <c r="B161" s="1" t="s">
        <v>522</v>
      </c>
      <c r="E161" s="24"/>
      <c r="F161" s="24"/>
      <c r="G161" s="24"/>
    </row>
    <row r="162" ht="15">
      <c r="D162" s="1" t="s">
        <v>201</v>
      </c>
    </row>
    <row r="163" ht="15">
      <c r="D163" s="1" t="s">
        <v>202</v>
      </c>
    </row>
    <row r="164" ht="15">
      <c r="D164" s="1" t="s">
        <v>203</v>
      </c>
    </row>
    <row r="165" spans="4:7" ht="15">
      <c r="D165" s="1" t="s">
        <v>204</v>
      </c>
      <c r="G165" s="1" t="s">
        <v>392</v>
      </c>
    </row>
    <row r="166" spans="4:5" ht="15">
      <c r="D166" s="1" t="s">
        <v>1220</v>
      </c>
      <c r="E166" s="24" t="s">
        <v>1221</v>
      </c>
    </row>
    <row r="167" spans="2:4" ht="15">
      <c r="B167" s="1" t="s">
        <v>523</v>
      </c>
      <c r="C167" s="2" t="s">
        <v>38</v>
      </c>
      <c r="D167" s="1" t="s">
        <v>166</v>
      </c>
    </row>
    <row r="168" ht="15">
      <c r="D168" s="1" t="s">
        <v>205</v>
      </c>
    </row>
    <row r="169" ht="15">
      <c r="D169" s="1" t="s">
        <v>168</v>
      </c>
    </row>
    <row r="170" spans="3:4" ht="15">
      <c r="C170" s="1" t="s">
        <v>922</v>
      </c>
      <c r="D170" s="1" t="s">
        <v>212</v>
      </c>
    </row>
    <row r="171" spans="3:4" ht="15">
      <c r="C171" s="1" t="s">
        <v>924</v>
      </c>
      <c r="D171" s="1" t="s">
        <v>213</v>
      </c>
    </row>
    <row r="172" spans="3:8" ht="15">
      <c r="C172" s="1" t="s">
        <v>1222</v>
      </c>
      <c r="D172" s="1" t="s">
        <v>210</v>
      </c>
      <c r="H172" s="1" t="s">
        <v>1223</v>
      </c>
    </row>
    <row r="173" spans="3:8" ht="15">
      <c r="C173" s="1" t="s">
        <v>1224</v>
      </c>
      <c r="D173" s="1" t="s">
        <v>1225</v>
      </c>
      <c r="H173" s="1" t="s">
        <v>1226</v>
      </c>
    </row>
    <row r="174" ht="15">
      <c r="E174" s="1" t="s">
        <v>1227</v>
      </c>
    </row>
    <row r="175" spans="3:4" ht="15">
      <c r="C175" s="1" t="s">
        <v>43</v>
      </c>
      <c r="D175" s="1" t="s">
        <v>169</v>
      </c>
    </row>
    <row r="176" ht="15">
      <c r="D176" s="1" t="s">
        <v>214</v>
      </c>
    </row>
    <row r="177" ht="15">
      <c r="D177" s="1" t="s">
        <v>173</v>
      </c>
    </row>
    <row r="178" spans="3:4" ht="15">
      <c r="C178" s="1" t="s">
        <v>922</v>
      </c>
      <c r="D178" s="1" t="s">
        <v>221</v>
      </c>
    </row>
    <row r="179" spans="3:4" ht="15">
      <c r="C179" s="1" t="s">
        <v>924</v>
      </c>
      <c r="D179" s="1" t="s">
        <v>222</v>
      </c>
    </row>
    <row r="180" spans="3:4" ht="15">
      <c r="C180" s="1" t="s">
        <v>44</v>
      </c>
      <c r="D180" s="1" t="s">
        <v>218</v>
      </c>
    </row>
    <row r="181" spans="3:8" ht="15">
      <c r="C181" s="1" t="s">
        <v>1222</v>
      </c>
      <c r="D181" s="1" t="s">
        <v>219</v>
      </c>
      <c r="H181" s="1" t="s">
        <v>1228</v>
      </c>
    </row>
    <row r="182" spans="4:8" ht="15">
      <c r="D182" s="1" t="s">
        <v>1229</v>
      </c>
      <c r="H182" s="1" t="s">
        <v>1230</v>
      </c>
    </row>
    <row r="183" ht="15">
      <c r="E183" s="1" t="s">
        <v>1231</v>
      </c>
    </row>
    <row r="184" spans="3:4" ht="15">
      <c r="C184" s="1" t="s">
        <v>45</v>
      </c>
      <c r="D184" s="1" t="s">
        <v>926</v>
      </c>
    </row>
    <row r="185" ht="15">
      <c r="D185" s="1" t="s">
        <v>225</v>
      </c>
    </row>
    <row r="186" spans="3:4" ht="15">
      <c r="C186" s="1" t="s">
        <v>924</v>
      </c>
      <c r="D186" s="1" t="s">
        <v>235</v>
      </c>
    </row>
    <row r="187" spans="3:4" ht="15">
      <c r="C187" s="1" t="s">
        <v>1232</v>
      </c>
      <c r="D187" s="1" t="s">
        <v>228</v>
      </c>
    </row>
    <row r="188" spans="2:8" ht="15">
      <c r="B188" s="1" t="s">
        <v>1233</v>
      </c>
      <c r="C188" s="1" t="s">
        <v>1234</v>
      </c>
      <c r="D188" s="1" t="s">
        <v>232</v>
      </c>
      <c r="H188" s="1" t="s">
        <v>1235</v>
      </c>
    </row>
    <row r="189" spans="4:8" ht="15">
      <c r="D189" s="1" t="s">
        <v>1236</v>
      </c>
      <c r="H189" s="1" t="s">
        <v>1237</v>
      </c>
    </row>
    <row r="190" ht="15">
      <c r="F190" s="1" t="s">
        <v>1238</v>
      </c>
    </row>
    <row r="191" spans="6:7" ht="15">
      <c r="F191" s="5" t="s">
        <v>1239</v>
      </c>
      <c r="G191" s="1" t="s">
        <v>1240</v>
      </c>
    </row>
    <row r="192" spans="5:6" ht="15">
      <c r="E192" s="1" t="s">
        <v>1241</v>
      </c>
      <c r="F192" s="1" t="s">
        <v>893</v>
      </c>
    </row>
    <row r="193" spans="3:4" ht="15">
      <c r="C193" s="2" t="s">
        <v>1242</v>
      </c>
      <c r="D193" s="1" t="s">
        <v>1243</v>
      </c>
    </row>
    <row r="194" spans="4:12" ht="15">
      <c r="D194" s="3" t="s">
        <v>217</v>
      </c>
      <c r="E194" s="3" t="s">
        <v>346</v>
      </c>
      <c r="F194" s="3" t="s">
        <v>1244</v>
      </c>
      <c r="G194" s="3" t="s">
        <v>545</v>
      </c>
      <c r="H194" s="3" t="s">
        <v>988</v>
      </c>
      <c r="I194" s="3" t="s">
        <v>815</v>
      </c>
      <c r="J194" s="3" t="s">
        <v>997</v>
      </c>
      <c r="K194" s="3" t="s">
        <v>989</v>
      </c>
      <c r="L194" s="3" t="s">
        <v>990</v>
      </c>
    </row>
    <row r="195" spans="1:12" ht="15">
      <c r="A195" s="1" t="s">
        <v>1245</v>
      </c>
      <c r="B195" s="1" t="s">
        <v>1246</v>
      </c>
      <c r="D195" s="4">
        <v>5</v>
      </c>
      <c r="E195" s="4">
        <v>3.95</v>
      </c>
      <c r="F195" s="4">
        <v>4</v>
      </c>
      <c r="G195" s="4">
        <v>0.076</v>
      </c>
      <c r="H195" s="4">
        <v>47.2</v>
      </c>
      <c r="I195" s="4">
        <v>1.11</v>
      </c>
      <c r="J195" s="4">
        <v>150</v>
      </c>
      <c r="K195" s="4">
        <f>4.53/G195^0.4*(1.0101+0.26308*F195^-0.7-3.0519*F195^-1.4+4.50125*F195^-2.1-2.1226*F195^-2.8)*(1.7595+0.28035/D195-0.47676/E195+0.938/D195/E195-1.3253*D195^-2+0.15628*E195^-2+0.10158*D195^-2*E195^-2-0.5057*D195^-0.4*E195^0.6+0.0017279/D195*E195^3)</f>
        <v>12.359745518985479</v>
      </c>
      <c r="L195" s="4">
        <v>0.6</v>
      </c>
    </row>
    <row r="196" spans="1:12" ht="15">
      <c r="A196" s="1" t="s">
        <v>1247</v>
      </c>
      <c r="B196" s="3" t="s">
        <v>1248</v>
      </c>
      <c r="F196" s="4">
        <v>30</v>
      </c>
      <c r="G196" s="4">
        <v>0.04</v>
      </c>
      <c r="H196" s="4">
        <v>30.4</v>
      </c>
      <c r="I196" s="4">
        <v>0.301</v>
      </c>
      <c r="J196" s="4">
        <f>797+957</f>
        <v>1754</v>
      </c>
      <c r="K196" s="4">
        <f>4.24/G196^0.36*(1.00059+0.22222*F196^-1.2-7.0707*F196^-2.4+26.592*F196^-3.6-29.828*F196^-4.8)</f>
        <v>13.54215548767558</v>
      </c>
      <c r="L196" s="4">
        <v>0.64</v>
      </c>
    </row>
    <row r="197" spans="1:12" ht="15">
      <c r="A197" s="1" t="s">
        <v>1249</v>
      </c>
      <c r="B197" s="1" t="s">
        <v>1250</v>
      </c>
      <c r="D197" s="4">
        <v>2.77</v>
      </c>
      <c r="E197" s="4">
        <v>1.97</v>
      </c>
      <c r="F197" s="4">
        <v>28</v>
      </c>
      <c r="G197" s="4">
        <v>0.038</v>
      </c>
      <c r="H197" s="4">
        <v>19.8</v>
      </c>
      <c r="I197" s="4">
        <v>0.236</v>
      </c>
      <c r="J197" s="4">
        <v>952</v>
      </c>
      <c r="K197" s="4">
        <f>4.53/G197^0.4*(1.0101+0.26308*F197^-0.7-3.0519*F197^-1.4+4.50125*F197^-2.1-2.1226*F197^-2.8)*(1.7595+0.28035/D197-0.47676/E197+0.938/D197/E197-1.3253*D197^-2+0.15628*E197^-2+0.10158*D197^-2*E197^-2-0.5057*D197^-0.4*E197^0.6+0.0017279/D197*E197^3)</f>
        <v>19.66438687502004</v>
      </c>
      <c r="L197" s="4">
        <v>0.6</v>
      </c>
    </row>
    <row r="198" spans="1:12" ht="15">
      <c r="A198" s="1" t="s">
        <v>1251</v>
      </c>
      <c r="B198" s="1" t="s">
        <v>1252</v>
      </c>
      <c r="D198" s="4">
        <v>1.57</v>
      </c>
      <c r="E198" s="4">
        <v>1.08</v>
      </c>
      <c r="F198" s="4">
        <v>55</v>
      </c>
      <c r="G198" s="4">
        <v>0.051</v>
      </c>
      <c r="H198" s="4">
        <v>10.1</v>
      </c>
      <c r="J198" s="4">
        <v>5420</v>
      </c>
      <c r="K198" s="4">
        <f>4.53/G198^0.4*(1.0101+0.26308*F198^-0.7-3.0519*F198^-1.4+4.50125*F198^-2.1-2.1226*F198^-2.8)*(1.7595+0.28035/D198-0.47676/E198+0.938/D198/E198-1.3253*D198^-2+0.15628*E198^-2+0.10158*D198^-2*E198^-2-0.5057*D198^-0.4*E198^0.6+0.0017279/D198*E198^3)</f>
        <v>18.77352404035583</v>
      </c>
      <c r="L198" s="4">
        <v>0.6</v>
      </c>
    </row>
    <row r="199" spans="1:12" ht="15">
      <c r="A199" s="1" t="s">
        <v>1253</v>
      </c>
      <c r="B199" s="1" t="s">
        <v>1254</v>
      </c>
      <c r="D199" s="4">
        <v>2.77</v>
      </c>
      <c r="E199" s="4">
        <v>1.97</v>
      </c>
      <c r="F199" s="4">
        <v>56</v>
      </c>
      <c r="G199" s="4">
        <v>0.038</v>
      </c>
      <c r="H199" s="4">
        <v>18</v>
      </c>
      <c r="I199" s="4">
        <v>0.181</v>
      </c>
      <c r="J199" s="4">
        <v>1720</v>
      </c>
      <c r="K199" s="4">
        <f>4.53/G199^0.4*(1.0101+0.26308*F199^-0.7-3.0519*F199^-1.4+4.50125*F199^-2.1-2.1226*F199^-2.8)*(1.7595+0.28035/D199-0.47676/E199+0.938/D199/E199-1.3253*D199^-2+0.15628*E199^-2+0.10158*D199^-2*E199^-2-0.5057*D199^-0.4*E199^0.6+0.0017279/D199*E199^3)</f>
        <v>19.762507274859896</v>
      </c>
      <c r="L199" s="4">
        <v>0.6</v>
      </c>
    </row>
    <row r="200" spans="1:12" ht="15">
      <c r="A200" s="1" t="s">
        <v>1255</v>
      </c>
      <c r="B200" s="1" t="s">
        <v>1256</v>
      </c>
      <c r="D200" s="4">
        <v>1.57</v>
      </c>
      <c r="E200" s="4">
        <v>1.08</v>
      </c>
      <c r="F200" s="4">
        <v>55</v>
      </c>
      <c r="G200" s="4">
        <v>0.051</v>
      </c>
      <c r="H200" s="4">
        <v>10.1</v>
      </c>
      <c r="J200" s="4">
        <v>5420</v>
      </c>
      <c r="K200" s="4">
        <f>4.53/G200^0.4*(1.0101+0.26308*F200^-0.7-3.0519*F200^-1.4+4.50125*F200^-2.1-2.1226*F200^-2.8)*(1.7595+0.28035/D200-0.47676/E200+0.938/D200/E200-1.3253*D200^-2+0.15628*E200^-2+0.10158*D200^-2*E200^-2-0.5057*D200^-0.4*E200^0.6+0.0017279/D200*E200^3)</f>
        <v>18.77352404035583</v>
      </c>
      <c r="L200" s="4">
        <v>0.6</v>
      </c>
    </row>
    <row r="201" spans="1:12" ht="15">
      <c r="A201" s="1" t="s">
        <v>1257</v>
      </c>
      <c r="B201" s="1" t="s">
        <v>1258</v>
      </c>
      <c r="G201" s="4">
        <v>0.048</v>
      </c>
      <c r="H201" s="4">
        <v>11.3</v>
      </c>
      <c r="K201" s="4">
        <f>2.38/G201^0.2*1</f>
        <v>4.368463481861325</v>
      </c>
      <c r="L201" s="4">
        <v>0.8</v>
      </c>
    </row>
    <row r="202" spans="1:12" ht="15">
      <c r="A202" s="1" t="s">
        <v>1259</v>
      </c>
      <c r="B202" s="1" t="s">
        <v>1260</v>
      </c>
      <c r="G202" s="4">
        <v>0.048</v>
      </c>
      <c r="H202" s="4">
        <v>11.3</v>
      </c>
      <c r="K202" s="4">
        <f>2.38/G202^0.2*1</f>
        <v>4.368463481861325</v>
      </c>
      <c r="L202" s="4">
        <v>0.8</v>
      </c>
    </row>
    <row r="204" spans="5:8" ht="15">
      <c r="E204" s="30" t="s">
        <v>982</v>
      </c>
      <c r="F204" s="8"/>
      <c r="G204" s="8"/>
      <c r="H204" s="8"/>
    </row>
    <row r="205" spans="3:4" ht="15">
      <c r="C205" s="1" t="s">
        <v>1261</v>
      </c>
      <c r="D205" s="1" t="s">
        <v>987</v>
      </c>
    </row>
    <row r="206" spans="4:12" ht="15">
      <c r="D206" s="3" t="s">
        <v>815</v>
      </c>
      <c r="E206" s="3" t="s">
        <v>988</v>
      </c>
      <c r="F206" s="3" t="s">
        <v>817</v>
      </c>
      <c r="G206" s="3" t="s">
        <v>102</v>
      </c>
      <c r="H206" s="3" t="s">
        <v>647</v>
      </c>
      <c r="I206" s="3" t="s">
        <v>989</v>
      </c>
      <c r="J206" s="3" t="s">
        <v>990</v>
      </c>
      <c r="K206" s="3" t="s">
        <v>991</v>
      </c>
      <c r="L206" s="3" t="s">
        <v>992</v>
      </c>
    </row>
    <row r="207" spans="4:12" ht="15.75">
      <c r="D207" s="23">
        <v>0.301</v>
      </c>
      <c r="E207" s="23">
        <v>30.4</v>
      </c>
      <c r="F207" s="23">
        <v>1</v>
      </c>
      <c r="G207" s="23">
        <v>0.092</v>
      </c>
      <c r="H207" s="23">
        <v>0.23</v>
      </c>
      <c r="I207" s="23">
        <v>13.54</v>
      </c>
      <c r="J207" s="23">
        <v>0.64</v>
      </c>
      <c r="K207" s="35">
        <f>L209+(K209+1/J209)*L211*D209/D211</f>
        <v>806.318548319741</v>
      </c>
      <c r="L207" s="35">
        <f>833+273</f>
        <v>1106</v>
      </c>
    </row>
    <row r="208" spans="4:12" ht="15">
      <c r="D208" s="3" t="s">
        <v>835</v>
      </c>
      <c r="E208" s="3" t="s">
        <v>699</v>
      </c>
      <c r="F208" s="3" t="s">
        <v>544</v>
      </c>
      <c r="G208" s="3" t="s">
        <v>209</v>
      </c>
      <c r="H208" s="3" t="s">
        <v>206</v>
      </c>
      <c r="I208" s="3" t="s">
        <v>993</v>
      </c>
      <c r="J208" s="3" t="s">
        <v>994</v>
      </c>
      <c r="K208" s="3" t="s">
        <v>995</v>
      </c>
      <c r="L208" s="3" t="s">
        <v>996</v>
      </c>
    </row>
    <row r="209" spans="4:12" ht="15.75">
      <c r="D209" s="23">
        <v>41000</v>
      </c>
      <c r="E209" s="23">
        <v>5.47</v>
      </c>
      <c r="F209" s="35">
        <f>L207-273</f>
        <v>833</v>
      </c>
      <c r="G209" s="35">
        <f>D209*E209/(3600*E207)*(F209+273)/273</f>
        <v>8.302092705053232</v>
      </c>
      <c r="H209" s="35">
        <f>1.1077-0.002944*F209^0.7+0.67936*G207+0.0050854*F209^0.7*G207+0.0000089737*F209^1.4-2.4659*G207^2-0.000046377*F209^1.4*G207^2+23.168*F209^-0.1*G207^4</f>
        <v>0.9811810700573694</v>
      </c>
      <c r="I209" s="35">
        <f>I207*H209*G209^J207</f>
        <v>51.481106814969785</v>
      </c>
      <c r="J209" s="23">
        <v>1700</v>
      </c>
      <c r="K209" s="23">
        <v>0.005</v>
      </c>
      <c r="L209" s="35">
        <f>414+273</f>
        <v>687</v>
      </c>
    </row>
    <row r="210" spans="4:12" ht="15">
      <c r="D210" s="3" t="s">
        <v>997</v>
      </c>
      <c r="E210" s="3" t="s">
        <v>820</v>
      </c>
      <c r="F210" s="3" t="s">
        <v>998</v>
      </c>
      <c r="G210" s="3" t="s">
        <v>999</v>
      </c>
      <c r="H210" s="3" t="s">
        <v>1000</v>
      </c>
      <c r="I210" s="3" t="s">
        <v>1001</v>
      </c>
      <c r="J210" s="3" t="s">
        <v>1002</v>
      </c>
      <c r="K210" s="3" t="s">
        <v>1003</v>
      </c>
      <c r="L210" s="3" t="s">
        <v>1004</v>
      </c>
    </row>
    <row r="211" spans="4:12" ht="15.75">
      <c r="D211" s="35">
        <f>1754/6</f>
        <v>292.3333333333333</v>
      </c>
      <c r="E211" s="35">
        <f>((0.78+1.6*G207)/(F207*H207*D207)^0.5-0.1)*(1-0.37*L207/1000)</f>
        <v>2.0227844961344563</v>
      </c>
      <c r="F211" s="35">
        <f>E211*H207</f>
        <v>0.46524043411092497</v>
      </c>
      <c r="G211" s="35">
        <f>1-EXP(-F211*F207*D207)</f>
        <v>0.1306742524915998</v>
      </c>
      <c r="H211" s="35">
        <f>0.000000049*(0.82+1)/2*G211*L207^3*(1-(K207/L207)^3.6)/(1-K207/L207)</f>
        <v>19.767013834214755</v>
      </c>
      <c r="I211" s="35">
        <f>I209+H211</f>
        <v>71.24812064918454</v>
      </c>
      <c r="J211" s="35">
        <f>1/(1/I211+K209+1/J209)</f>
        <v>50.95880722109275</v>
      </c>
      <c r="K211" s="35">
        <f>L207-L209</f>
        <v>419</v>
      </c>
      <c r="L211" s="35">
        <f>J211*D211*K211/D209</f>
        <v>152.23964372263742</v>
      </c>
    </row>
    <row r="212" ht="15">
      <c r="E212" s="1" t="s">
        <v>1262</v>
      </c>
    </row>
    <row r="213" spans="3:4" ht="15">
      <c r="C213" s="2" t="s">
        <v>1263</v>
      </c>
      <c r="D213" s="1" t="s">
        <v>1264</v>
      </c>
    </row>
    <row r="214" ht="15">
      <c r="D214" s="1" t="s">
        <v>1265</v>
      </c>
    </row>
    <row r="215" spans="3:4" ht="15">
      <c r="C215" s="1" t="s">
        <v>1266</v>
      </c>
      <c r="D215" s="1" t="s">
        <v>1267</v>
      </c>
    </row>
    <row r="216" spans="4:12" ht="15">
      <c r="D216" s="3" t="s">
        <v>835</v>
      </c>
      <c r="E216" s="3" t="s">
        <v>984</v>
      </c>
      <c r="F216" s="3" t="s">
        <v>1268</v>
      </c>
      <c r="G216" s="3" t="s">
        <v>109</v>
      </c>
      <c r="H216" s="3" t="s">
        <v>1004</v>
      </c>
      <c r="I216" s="3" t="s">
        <v>1269</v>
      </c>
      <c r="J216" s="3" t="s">
        <v>840</v>
      </c>
      <c r="K216" s="3" t="s">
        <v>1007</v>
      </c>
      <c r="L216" s="3" t="s">
        <v>111</v>
      </c>
    </row>
    <row r="217" spans="4:12" ht="15.75">
      <c r="D217" s="23">
        <v>41000</v>
      </c>
      <c r="E217" s="23">
        <v>200000</v>
      </c>
      <c r="F217" s="23">
        <v>750</v>
      </c>
      <c r="G217" s="23">
        <v>100</v>
      </c>
      <c r="H217" s="23">
        <v>158.41</v>
      </c>
      <c r="I217" s="23">
        <v>0</v>
      </c>
      <c r="J217" s="23">
        <v>0.994</v>
      </c>
      <c r="K217" s="35">
        <f>(H217+I217)*J217</f>
        <v>157.45954</v>
      </c>
      <c r="L217" s="35">
        <f>(D217*K217+E217*F217)/E217</f>
        <v>782.2792056999999</v>
      </c>
    </row>
    <row r="218" spans="11:12" ht="15">
      <c r="K218" s="3" t="s">
        <v>544</v>
      </c>
      <c r="L218" s="3" t="s">
        <v>996</v>
      </c>
    </row>
    <row r="219" spans="11:12" ht="15.75">
      <c r="K219" s="35">
        <f>3074.3-3.1077*G217-2.3864*10^7*L217^-1.3+22437.3*G217*L217^-1.3+0.0041697*G217^2+4.8476*10^10*L217^-2.6-177649*G217^2*L217^-2.6</f>
        <v>461.3218163794875</v>
      </c>
      <c r="L219" s="35">
        <f>K219+273</f>
        <v>734.3218163794875</v>
      </c>
    </row>
    <row r="221" spans="5:8" ht="15">
      <c r="E221" s="30" t="s">
        <v>1013</v>
      </c>
      <c r="F221" s="8"/>
      <c r="G221" s="8"/>
      <c r="H221" s="8"/>
    </row>
    <row r="222" spans="4:12" ht="15">
      <c r="D222" s="3" t="s">
        <v>815</v>
      </c>
      <c r="E222" s="3" t="s">
        <v>988</v>
      </c>
      <c r="F222" s="3" t="s">
        <v>817</v>
      </c>
      <c r="G222" s="3" t="s">
        <v>102</v>
      </c>
      <c r="H222" s="3" t="s">
        <v>647</v>
      </c>
      <c r="I222" s="3" t="s">
        <v>989</v>
      </c>
      <c r="J222" s="3" t="s">
        <v>990</v>
      </c>
      <c r="K222" s="3" t="s">
        <v>991</v>
      </c>
      <c r="L222" s="3" t="s">
        <v>992</v>
      </c>
    </row>
    <row r="223" spans="4:12" ht="15.75">
      <c r="D223" s="4">
        <v>0.236</v>
      </c>
      <c r="E223" s="4">
        <v>19.8</v>
      </c>
      <c r="F223" s="4">
        <v>1</v>
      </c>
      <c r="G223" s="4">
        <v>0.09</v>
      </c>
      <c r="H223" s="4">
        <v>0.224</v>
      </c>
      <c r="I223" s="4">
        <v>19.664</v>
      </c>
      <c r="J223" s="4">
        <v>0.6</v>
      </c>
      <c r="K223" s="35">
        <f>L225+(K225+1/J225)*L227*D225/D227</f>
        <v>617.3968362680412</v>
      </c>
      <c r="L223" s="35">
        <f>530+273</f>
        <v>803</v>
      </c>
    </row>
    <row r="224" spans="4:12" ht="15">
      <c r="D224" s="3" t="s">
        <v>835</v>
      </c>
      <c r="E224" s="3" t="s">
        <v>699</v>
      </c>
      <c r="F224" s="3" t="s">
        <v>544</v>
      </c>
      <c r="G224" s="3" t="s">
        <v>209</v>
      </c>
      <c r="H224" s="3" t="s">
        <v>206</v>
      </c>
      <c r="I224" s="3" t="s">
        <v>993</v>
      </c>
      <c r="J224" s="3" t="s">
        <v>994</v>
      </c>
      <c r="K224" s="3" t="s">
        <v>995</v>
      </c>
      <c r="L224" s="3" t="s">
        <v>996</v>
      </c>
    </row>
    <row r="225" spans="4:12" ht="15.75">
      <c r="D225" s="23">
        <v>41000</v>
      </c>
      <c r="E225" s="23">
        <v>5.62</v>
      </c>
      <c r="F225" s="35">
        <f>L223-273</f>
        <v>530</v>
      </c>
      <c r="G225" s="35">
        <f>D225*E225/(3600*E223)*(F225+273)/273</f>
        <v>9.508354813910369</v>
      </c>
      <c r="H225" s="35">
        <f>1.723-0.00072545*F225-2.1255*G223^0.1+0.00081189*F225*G223^0.1+0.00000015846*F225^2+1.5631*G223^0.2-0.00000016954*F225^2*G223^0.2+257255*F225^-0.8*G223^10</f>
        <v>0.9868543728685575</v>
      </c>
      <c r="I225" s="35">
        <f>I223*H225*G225^J223</f>
        <v>74.95285207765271</v>
      </c>
      <c r="J225" s="23">
        <v>100000</v>
      </c>
      <c r="K225" s="23">
        <v>0.005</v>
      </c>
      <c r="L225" s="35">
        <f>267+273</f>
        <v>540</v>
      </c>
    </row>
    <row r="226" spans="4:12" ht="15">
      <c r="D226" s="3" t="s">
        <v>997</v>
      </c>
      <c r="E226" s="3" t="s">
        <v>820</v>
      </c>
      <c r="F226" s="3" t="s">
        <v>998</v>
      </c>
      <c r="G226" s="3" t="s">
        <v>999</v>
      </c>
      <c r="H226" s="3" t="s">
        <v>1000</v>
      </c>
      <c r="I226" s="3" t="s">
        <v>1001</v>
      </c>
      <c r="J226" s="3" t="s">
        <v>1002</v>
      </c>
      <c r="K226" s="3" t="s">
        <v>1003</v>
      </c>
      <c r="L226" s="3" t="s">
        <v>1004</v>
      </c>
    </row>
    <row r="227" spans="4:12" ht="15.75">
      <c r="D227" s="35">
        <f>952/6</f>
        <v>158.66666666666666</v>
      </c>
      <c r="E227" s="35">
        <f>((0.78+1.6*G223)/(F223*H223*D223)^0.5-0.1)*(1-0.37*L223/1000)</f>
        <v>2.7544564985324693</v>
      </c>
      <c r="F227" s="35">
        <f>E227*H223</f>
        <v>0.6169982556712731</v>
      </c>
      <c r="G227" s="35">
        <f>1-EXP(-F227*F223*D223)</f>
        <v>0.13550658269257698</v>
      </c>
      <c r="H227" s="35">
        <f>0.000000049*(0.82+1)/2*G227*L223^3*(1-(K223/L223)^3.6)/(1-K223/L223)</f>
        <v>8.281021754866469</v>
      </c>
      <c r="I227" s="35">
        <f>I225+H227</f>
        <v>83.23387383251918</v>
      </c>
      <c r="J227" s="35">
        <f>1/(1/I227+K225+1/J225)</f>
        <v>58.739430847841305</v>
      </c>
      <c r="K227" s="35">
        <f>L223-L225</f>
        <v>263</v>
      </c>
      <c r="L227" s="35">
        <f>J227*D227*K227/D225</f>
        <v>59.78432413804517</v>
      </c>
    </row>
    <row r="228" ht="15">
      <c r="E228" s="1" t="s">
        <v>1262</v>
      </c>
    </row>
    <row r="229" spans="3:4" ht="15">
      <c r="C229" s="2" t="s">
        <v>518</v>
      </c>
      <c r="D229" s="1" t="s">
        <v>626</v>
      </c>
    </row>
    <row r="230" spans="3:4" ht="15">
      <c r="C230" s="1" t="s">
        <v>976</v>
      </c>
      <c r="D230" s="1" t="s">
        <v>21</v>
      </c>
    </row>
    <row r="231" ht="15">
      <c r="D231" s="1" t="s">
        <v>1265</v>
      </c>
    </row>
    <row r="232" spans="3:4" ht="15">
      <c r="C232" s="1" t="s">
        <v>1270</v>
      </c>
      <c r="D232" s="1" t="s">
        <v>1271</v>
      </c>
    </row>
    <row r="233" spans="4:12" ht="15">
      <c r="D233" s="3" t="s">
        <v>835</v>
      </c>
      <c r="E233" s="3" t="s">
        <v>1014</v>
      </c>
      <c r="F233" s="3" t="s">
        <v>1272</v>
      </c>
      <c r="G233" s="3" t="s">
        <v>109</v>
      </c>
      <c r="H233" s="3" t="s">
        <v>1004</v>
      </c>
      <c r="I233" s="3" t="s">
        <v>1269</v>
      </c>
      <c r="J233" s="3" t="s">
        <v>840</v>
      </c>
      <c r="K233" s="3" t="s">
        <v>1007</v>
      </c>
      <c r="L233" s="3" t="s">
        <v>113</v>
      </c>
    </row>
    <row r="234" spans="4:12" ht="15.75">
      <c r="D234" s="23">
        <v>41000</v>
      </c>
      <c r="E234" s="35">
        <f>200000*1.025</f>
        <v>204999.99999999997</v>
      </c>
      <c r="F234" s="23">
        <v>270</v>
      </c>
      <c r="G234" s="23">
        <v>100</v>
      </c>
      <c r="H234" s="23">
        <v>60.342</v>
      </c>
      <c r="I234" s="23">
        <v>0</v>
      </c>
      <c r="J234" s="23">
        <v>0.994</v>
      </c>
      <c r="K234" s="35">
        <f>(H234+I234)*J234</f>
        <v>59.979948</v>
      </c>
      <c r="L234" s="35">
        <f>(D234*K234+E234*F234)/E234</f>
        <v>281.99598960000003</v>
      </c>
    </row>
    <row r="235" spans="10:12" ht="15">
      <c r="J235" s="3" t="s">
        <v>865</v>
      </c>
      <c r="K235" s="3" t="s">
        <v>544</v>
      </c>
      <c r="L235" s="3" t="s">
        <v>996</v>
      </c>
    </row>
    <row r="236" spans="10:12" ht="15.75">
      <c r="J236" s="35">
        <f>193.897+1.6984*G234-0.0066353*G234^2+0.0000121825*G234^3</f>
        <v>309.56649999999996</v>
      </c>
      <c r="K236" s="35">
        <f>7.058+0.37694*L234^1.2-0.000087402*L234^2.4+5.2177*10^12*L234^-4*G234^-2</f>
        <v>269.27170467021875</v>
      </c>
      <c r="L236" s="35">
        <f>K236+273</f>
        <v>542.2717046702187</v>
      </c>
    </row>
    <row r="238" spans="4:9" ht="15">
      <c r="D238" s="1" t="s">
        <v>1016</v>
      </c>
      <c r="E238" s="30" t="s">
        <v>1017</v>
      </c>
      <c r="F238" s="8"/>
      <c r="G238" s="8"/>
      <c r="H238" s="8"/>
      <c r="I238" s="2" t="s">
        <v>1018</v>
      </c>
    </row>
    <row r="239" spans="4:12" ht="15">
      <c r="D239" s="3" t="s">
        <v>1019</v>
      </c>
      <c r="E239" s="3" t="s">
        <v>102</v>
      </c>
      <c r="F239" s="3" t="s">
        <v>1020</v>
      </c>
      <c r="G239" s="3" t="s">
        <v>1021</v>
      </c>
      <c r="H239" s="3" t="s">
        <v>992</v>
      </c>
      <c r="I239" s="3" t="s">
        <v>699</v>
      </c>
      <c r="J239" s="3" t="s">
        <v>1022</v>
      </c>
      <c r="K239" s="3" t="s">
        <v>1023</v>
      </c>
      <c r="L239" s="3" t="s">
        <v>1024</v>
      </c>
    </row>
    <row r="240" spans="4:12" ht="15.75">
      <c r="D240" s="23">
        <v>11.3</v>
      </c>
      <c r="E240" s="23">
        <v>0.088</v>
      </c>
      <c r="F240" s="23">
        <v>4.3685</v>
      </c>
      <c r="G240" s="23">
        <v>0.8</v>
      </c>
      <c r="H240" s="35">
        <f>375+273</f>
        <v>648</v>
      </c>
      <c r="I240" s="23">
        <v>5.76</v>
      </c>
      <c r="J240" s="35">
        <f>D244*I240/(3600*D240)*H240/273</f>
        <v>13.779636292910629</v>
      </c>
      <c r="K240" s="35">
        <f>1.6256-0.045133*(H240-273)^0.5+0.4512*E240+0.093678*(H240-273)^0.5*E240+0.00045725*(H240-273)+1.5688*E240^2-0.12748*(H240-273)^0.5*E240^1.2</f>
        <v>1.0009548537426194</v>
      </c>
      <c r="L240" s="35">
        <f>F240*K240*J240^G240</f>
        <v>35.6563622807341</v>
      </c>
    </row>
    <row r="241" spans="4:12" ht="15">
      <c r="D241" s="3" t="s">
        <v>1025</v>
      </c>
      <c r="E241" s="3" t="s">
        <v>1026</v>
      </c>
      <c r="F241" s="3" t="s">
        <v>1027</v>
      </c>
      <c r="G241" s="3" t="s">
        <v>1028</v>
      </c>
      <c r="H241" s="3" t="s">
        <v>1029</v>
      </c>
      <c r="I241" s="3" t="s">
        <v>1030</v>
      </c>
      <c r="J241" s="3" t="s">
        <v>1031</v>
      </c>
      <c r="K241" s="3" t="s">
        <v>1032</v>
      </c>
      <c r="L241" s="3" t="s">
        <v>1033</v>
      </c>
    </row>
    <row r="242" spans="4:12" ht="15.75">
      <c r="D242" s="23">
        <v>10.1</v>
      </c>
      <c r="E242" s="23">
        <v>0.75</v>
      </c>
      <c r="F242" s="23">
        <v>18.774</v>
      </c>
      <c r="G242" s="23">
        <v>0.6</v>
      </c>
      <c r="H242" s="35">
        <f>252+273</f>
        <v>525</v>
      </c>
      <c r="I242" s="23">
        <v>4.38</v>
      </c>
      <c r="J242" s="35">
        <f>D244*I242/(3600*D242)*H242/273</f>
        <v>9.497969027671997</v>
      </c>
      <c r="K242" s="35">
        <f>2.2357-0.72908*(H242-173)^0.1-0.0082964*(H242-173)^0.2</f>
        <v>0.8984189407398554</v>
      </c>
      <c r="L242" s="35">
        <f>F242*K242*J242^G242</f>
        <v>65.10497286521439</v>
      </c>
    </row>
    <row r="243" spans="4:11" ht="15">
      <c r="D243" s="3" t="s">
        <v>835</v>
      </c>
      <c r="E243" s="3" t="s">
        <v>997</v>
      </c>
      <c r="F243" s="3" t="s">
        <v>1002</v>
      </c>
      <c r="G243" s="3" t="s">
        <v>1003</v>
      </c>
      <c r="H243" s="3" t="s">
        <v>1004</v>
      </c>
      <c r="J243" s="3" t="s">
        <v>991</v>
      </c>
      <c r="K243" s="3" t="s">
        <v>1034</v>
      </c>
    </row>
    <row r="244" spans="4:11" ht="15.75">
      <c r="D244" s="23">
        <v>41000</v>
      </c>
      <c r="E244" s="35">
        <f>5420/6</f>
        <v>903.3333333333334</v>
      </c>
      <c r="F244" s="35">
        <f>E242/(1/L240+1/L242)</f>
        <v>17.278997658652916</v>
      </c>
      <c r="G244" s="35">
        <f>H240-H242</f>
        <v>123</v>
      </c>
      <c r="H244" s="35">
        <f>F244*E244*G244/D244</f>
        <v>46.82608365494941</v>
      </c>
      <c r="J244" s="35">
        <f>(H240+H242)/2</f>
        <v>586.5</v>
      </c>
      <c r="K244" s="35">
        <f>J244-273</f>
        <v>313.5</v>
      </c>
    </row>
    <row r="245" ht="15">
      <c r="E245" s="1" t="s">
        <v>1262</v>
      </c>
    </row>
    <row r="246" spans="3:9" ht="15">
      <c r="C246" s="1" t="s">
        <v>1273</v>
      </c>
      <c r="D246" s="1" t="s">
        <v>1274</v>
      </c>
      <c r="I246" s="1" t="s">
        <v>1265</v>
      </c>
    </row>
    <row r="247" spans="3:4" ht="15">
      <c r="C247" s="1" t="s">
        <v>1275</v>
      </c>
      <c r="D247" s="1" t="s">
        <v>1276</v>
      </c>
    </row>
    <row r="248" spans="4:12" ht="15">
      <c r="D248" s="3" t="s">
        <v>835</v>
      </c>
      <c r="E248" s="3" t="s">
        <v>1030</v>
      </c>
      <c r="F248" s="3" t="s">
        <v>1277</v>
      </c>
      <c r="G248" s="3" t="s">
        <v>1035</v>
      </c>
      <c r="H248" s="3" t="s">
        <v>1004</v>
      </c>
      <c r="I248" s="3" t="s">
        <v>1269</v>
      </c>
      <c r="J248" s="3" t="s">
        <v>840</v>
      </c>
      <c r="K248" s="3" t="s">
        <v>1007</v>
      </c>
      <c r="L248" s="3" t="s">
        <v>1036</v>
      </c>
    </row>
    <row r="249" spans="4:12" ht="15.75">
      <c r="D249" s="23">
        <v>41000</v>
      </c>
      <c r="E249" s="23">
        <v>4.38</v>
      </c>
      <c r="F249" s="35">
        <f>D249*E249</f>
        <v>179580</v>
      </c>
      <c r="G249" s="23">
        <v>62</v>
      </c>
      <c r="H249" s="23">
        <v>46.826</v>
      </c>
      <c r="I249" s="23">
        <v>0</v>
      </c>
      <c r="J249" s="23">
        <v>0.994</v>
      </c>
      <c r="K249" s="35">
        <f>(H249+I249)*J249</f>
        <v>46.545044</v>
      </c>
      <c r="L249" s="35">
        <f>(D249*K249+F249*G249)/F249</f>
        <v>72.62672237442922</v>
      </c>
    </row>
    <row r="250" spans="11:12" ht="15">
      <c r="K250" s="3" t="s">
        <v>1037</v>
      </c>
      <c r="L250" s="3" t="s">
        <v>996</v>
      </c>
    </row>
    <row r="251" spans="11:12" ht="15.75">
      <c r="K251" s="35">
        <f>3.2591*L249-0.00087119*L249^2</f>
        <v>232.1025365694653</v>
      </c>
      <c r="L251" s="35">
        <f>K251+273</f>
        <v>505.1025365694653</v>
      </c>
    </row>
    <row r="253" ht="15">
      <c r="D253" s="1" t="s">
        <v>1278</v>
      </c>
    </row>
    <row r="254" spans="4:5" ht="15">
      <c r="D254" s="1" t="s">
        <v>1279</v>
      </c>
      <c r="E254" s="1" t="s">
        <v>1280</v>
      </c>
    </row>
    <row r="255" spans="3:10" ht="15">
      <c r="C255" s="1" t="s">
        <v>1281</v>
      </c>
      <c r="D255" s="3" t="s">
        <v>1282</v>
      </c>
      <c r="E255" s="3" t="s">
        <v>1283</v>
      </c>
      <c r="F255" s="3" t="s">
        <v>376</v>
      </c>
      <c r="G255" s="3" t="s">
        <v>391</v>
      </c>
      <c r="H255" s="3" t="s">
        <v>399</v>
      </c>
      <c r="I255" s="3" t="s">
        <v>402</v>
      </c>
      <c r="J255" s="3" t="s">
        <v>667</v>
      </c>
    </row>
    <row r="256" spans="3:10" ht="15">
      <c r="C256" s="1" t="s">
        <v>28</v>
      </c>
      <c r="D256" s="4">
        <v>9.51</v>
      </c>
      <c r="E256" s="4">
        <v>1.01</v>
      </c>
      <c r="F256" s="4">
        <v>7.54</v>
      </c>
      <c r="G256" s="4">
        <v>2.13</v>
      </c>
      <c r="H256" s="4">
        <v>10.68</v>
      </c>
      <c r="I256" s="4">
        <v>8560</v>
      </c>
      <c r="J256" s="4">
        <v>3.08</v>
      </c>
    </row>
    <row r="257" spans="3:4" ht="15">
      <c r="C257" s="1" t="s">
        <v>1284</v>
      </c>
      <c r="D257" s="1" t="s">
        <v>1285</v>
      </c>
    </row>
    <row r="258" ht="15">
      <c r="D258" s="1" t="s">
        <v>1286</v>
      </c>
    </row>
    <row r="259" ht="15">
      <c r="D259" s="1" t="s">
        <v>1287</v>
      </c>
    </row>
    <row r="260" spans="3:4" ht="15">
      <c r="C260" s="1" t="s">
        <v>1288</v>
      </c>
      <c r="D260" s="1" t="s">
        <v>1289</v>
      </c>
    </row>
    <row r="261" ht="15">
      <c r="D261" s="1" t="s">
        <v>1290</v>
      </c>
    </row>
    <row r="262" spans="3:4" ht="15">
      <c r="C262" s="1" t="s">
        <v>1291</v>
      </c>
      <c r="D262" s="1" t="s">
        <v>90</v>
      </c>
    </row>
    <row r="263" ht="15">
      <c r="D263" s="1" t="s">
        <v>1292</v>
      </c>
    </row>
    <row r="264" spans="3:4" ht="15">
      <c r="C264" s="1" t="s">
        <v>1293</v>
      </c>
      <c r="D264" s="1" t="s">
        <v>1294</v>
      </c>
    </row>
    <row r="265" ht="15">
      <c r="D265" s="1" t="s">
        <v>1295</v>
      </c>
    </row>
    <row r="266" ht="15">
      <c r="D266" s="1" t="s">
        <v>1296</v>
      </c>
    </row>
    <row r="267" ht="15">
      <c r="D267" s="1" t="s">
        <v>1297</v>
      </c>
    </row>
    <row r="268" spans="3:4" ht="15">
      <c r="C268" s="1" t="s">
        <v>1298</v>
      </c>
      <c r="D268" s="1" t="s">
        <v>1299</v>
      </c>
    </row>
    <row r="269" spans="3:4" ht="15">
      <c r="C269" s="1" t="s">
        <v>1300</v>
      </c>
      <c r="D269" s="1" t="s">
        <v>1301</v>
      </c>
    </row>
    <row r="270" spans="1:2" ht="15">
      <c r="A270" s="1" t="s">
        <v>1171</v>
      </c>
      <c r="B270" s="1" t="s">
        <v>1172</v>
      </c>
    </row>
    <row r="271" ht="15">
      <c r="D271" s="1" t="s">
        <v>1302</v>
      </c>
    </row>
    <row r="272" spans="2:4" ht="15">
      <c r="B272" s="1" t="s">
        <v>510</v>
      </c>
      <c r="C272" s="1" t="s">
        <v>592</v>
      </c>
      <c r="D272" s="1" t="s">
        <v>92</v>
      </c>
    </row>
    <row r="274" spans="4:12" ht="15">
      <c r="D274" s="1" t="s">
        <v>250</v>
      </c>
      <c r="I274" s="24"/>
      <c r="J274" s="24"/>
      <c r="K274" s="24"/>
      <c r="L274" s="24"/>
    </row>
    <row r="275" ht="15">
      <c r="D275" s="1" t="s">
        <v>251</v>
      </c>
    </row>
    <row r="276" ht="15">
      <c r="D276" s="1" t="s">
        <v>252</v>
      </c>
    </row>
    <row r="277" ht="15">
      <c r="D277" s="1" t="s">
        <v>253</v>
      </c>
    </row>
    <row r="278" ht="15">
      <c r="D278" s="1" t="s">
        <v>254</v>
      </c>
    </row>
    <row r="279" ht="15">
      <c r="D279" s="1" t="s">
        <v>255</v>
      </c>
    </row>
    <row r="280" ht="15">
      <c r="D280" s="1" t="s">
        <v>256</v>
      </c>
    </row>
    <row r="281" spans="4:5" ht="15">
      <c r="D281" s="24" t="s">
        <v>257</v>
      </c>
      <c r="E281" s="24"/>
    </row>
    <row r="282" ht="15">
      <c r="D282" s="1" t="s">
        <v>258</v>
      </c>
    </row>
    <row r="283" ht="15">
      <c r="D283" s="1" t="s">
        <v>259</v>
      </c>
    </row>
    <row r="284" ht="15">
      <c r="D284" s="1" t="s">
        <v>260</v>
      </c>
    </row>
    <row r="285" ht="15">
      <c r="D285" s="1" t="s">
        <v>261</v>
      </c>
    </row>
    <row r="286" ht="15">
      <c r="D286" s="1" t="s">
        <v>262</v>
      </c>
    </row>
    <row r="287" ht="15">
      <c r="D287" s="1" t="s">
        <v>263</v>
      </c>
    </row>
    <row r="288" ht="15">
      <c r="D288" s="1" t="s">
        <v>264</v>
      </c>
    </row>
    <row r="289" ht="15">
      <c r="D289" s="1" t="s">
        <v>265</v>
      </c>
    </row>
    <row r="290" ht="15">
      <c r="D290" s="1" t="s">
        <v>266</v>
      </c>
    </row>
    <row r="291" ht="15">
      <c r="D291" s="1" t="s">
        <v>267</v>
      </c>
    </row>
    <row r="292" ht="15">
      <c r="D292" s="1" t="s">
        <v>268</v>
      </c>
    </row>
    <row r="293" ht="15">
      <c r="D293" s="1" t="s">
        <v>269</v>
      </c>
    </row>
    <row r="294" ht="15">
      <c r="D294" s="1" t="s">
        <v>270</v>
      </c>
    </row>
    <row r="295" ht="15">
      <c r="D295" s="1" t="s">
        <v>271</v>
      </c>
    </row>
    <row r="296" ht="15">
      <c r="D296" s="1" t="s">
        <v>272</v>
      </c>
    </row>
    <row r="297" ht="15">
      <c r="D297" s="1" t="s">
        <v>273</v>
      </c>
    </row>
    <row r="298" ht="15">
      <c r="D298" s="1" t="s">
        <v>274</v>
      </c>
    </row>
    <row r="299" ht="15">
      <c r="D299" s="1" t="s">
        <v>275</v>
      </c>
    </row>
    <row r="300" ht="15">
      <c r="D300" s="1" t="s">
        <v>276</v>
      </c>
    </row>
    <row r="301" ht="15">
      <c r="D301" s="1" t="s">
        <v>277</v>
      </c>
    </row>
    <row r="302" ht="15">
      <c r="D302" s="1" t="s">
        <v>278</v>
      </c>
    </row>
    <row r="303" ht="15">
      <c r="D303" s="1" t="s">
        <v>279</v>
      </c>
    </row>
    <row r="304" ht="15">
      <c r="D304" s="1" t="s">
        <v>280</v>
      </c>
    </row>
    <row r="305" ht="15">
      <c r="D305" s="1" t="s">
        <v>281</v>
      </c>
    </row>
    <row r="306" ht="15">
      <c r="D306" s="1" t="s">
        <v>282</v>
      </c>
    </row>
    <row r="307" ht="15">
      <c r="D307" s="1" t="s">
        <v>283</v>
      </c>
    </row>
    <row r="308" ht="15">
      <c r="D308" s="1" t="s">
        <v>284</v>
      </c>
    </row>
    <row r="309" ht="15">
      <c r="D309" s="1" t="s">
        <v>285</v>
      </c>
    </row>
    <row r="310" ht="15">
      <c r="D310" s="1" t="s">
        <v>286</v>
      </c>
    </row>
    <row r="311" ht="15">
      <c r="D311" s="1" t="s">
        <v>287</v>
      </c>
    </row>
    <row r="312" ht="15">
      <c r="D312" s="1" t="s">
        <v>288</v>
      </c>
    </row>
    <row r="313" ht="15">
      <c r="D313" s="1" t="s">
        <v>289</v>
      </c>
    </row>
    <row r="314" ht="15">
      <c r="D314" s="1" t="s">
        <v>290</v>
      </c>
    </row>
    <row r="315" ht="15">
      <c r="D315" s="1" t="s">
        <v>291</v>
      </c>
    </row>
    <row r="316" ht="15">
      <c r="D316" s="1" t="s">
        <v>292</v>
      </c>
    </row>
    <row r="317" ht="15">
      <c r="D317" s="1" t="s">
        <v>293</v>
      </c>
    </row>
    <row r="318" ht="15">
      <c r="D318" s="1" t="s">
        <v>294</v>
      </c>
    </row>
    <row r="319" ht="15">
      <c r="D319" s="1" t="s">
        <v>295</v>
      </c>
    </row>
    <row r="320" ht="15">
      <c r="D320" s="1" t="s">
        <v>296</v>
      </c>
    </row>
    <row r="321" ht="15">
      <c r="D321" s="1" t="s">
        <v>297</v>
      </c>
    </row>
    <row r="322" ht="15">
      <c r="D322" s="1" t="s">
        <v>298</v>
      </c>
    </row>
    <row r="323" ht="15">
      <c r="D323" s="1" t="s">
        <v>299</v>
      </c>
    </row>
    <row r="324" ht="15">
      <c r="D324" s="1" t="s">
        <v>300</v>
      </c>
    </row>
    <row r="325" ht="15">
      <c r="D325" s="1" t="s">
        <v>301</v>
      </c>
    </row>
    <row r="326" ht="15">
      <c r="E326" s="24" t="s">
        <v>1303</v>
      </c>
    </row>
    <row r="327" ht="15">
      <c r="D327" s="1" t="s">
        <v>1304</v>
      </c>
    </row>
    <row r="328" ht="15">
      <c r="E328" s="1" t="s">
        <v>1305</v>
      </c>
    </row>
    <row r="329" ht="15">
      <c r="D329" s="1" t="s">
        <v>1306</v>
      </c>
    </row>
    <row r="330" ht="15">
      <c r="D330" s="1" t="s">
        <v>1307</v>
      </c>
    </row>
    <row r="331" ht="15">
      <c r="D331" s="1" t="s">
        <v>1308</v>
      </c>
    </row>
    <row r="332" ht="15">
      <c r="E332" s="1" t="s">
        <v>1309</v>
      </c>
    </row>
    <row r="333" ht="15">
      <c r="D333" s="1" t="s">
        <v>1310</v>
      </c>
    </row>
    <row r="334" ht="15">
      <c r="D334" s="1" t="s">
        <v>1311</v>
      </c>
    </row>
    <row r="335" ht="15">
      <c r="D335" s="1" t="s">
        <v>1312</v>
      </c>
    </row>
    <row r="336" spans="3:4" ht="15">
      <c r="C336" s="2" t="s">
        <v>1313</v>
      </c>
      <c r="D336" s="1" t="s">
        <v>1314</v>
      </c>
    </row>
    <row r="337" ht="15">
      <c r="D337" s="1" t="s">
        <v>1315</v>
      </c>
    </row>
    <row r="338" ht="15">
      <c r="D338" s="1" t="s">
        <v>1316</v>
      </c>
    </row>
    <row r="339" spans="4:10" ht="15">
      <c r="D339" s="1" t="s">
        <v>1317</v>
      </c>
      <c r="J339" s="24"/>
    </row>
    <row r="340" ht="15">
      <c r="D340" s="1" t="s">
        <v>1318</v>
      </c>
    </row>
    <row r="341" spans="2:4" ht="15">
      <c r="B341" s="1" t="s">
        <v>1319</v>
      </c>
      <c r="C341" s="1" t="s">
        <v>520</v>
      </c>
      <c r="D341" s="1" t="s">
        <v>1320</v>
      </c>
    </row>
    <row r="342" spans="2:4" ht="15">
      <c r="B342" s="1" t="s">
        <v>1321</v>
      </c>
      <c r="C342" s="1" t="s">
        <v>520</v>
      </c>
      <c r="D342" s="1" t="s">
        <v>1322</v>
      </c>
    </row>
    <row r="343" ht="15">
      <c r="E343" s="1" t="s">
        <v>1323</v>
      </c>
    </row>
    <row r="344" ht="15">
      <c r="D344" s="1" t="s">
        <v>1324</v>
      </c>
    </row>
    <row r="345" spans="4:5" ht="15">
      <c r="D345" s="5" t="s">
        <v>1239</v>
      </c>
      <c r="E345" s="1" t="s">
        <v>1325</v>
      </c>
    </row>
    <row r="346" spans="4:5" ht="15">
      <c r="D346" s="5"/>
      <c r="E346" s="1"/>
    </row>
    <row r="347" spans="5:7" ht="15">
      <c r="E347" s="8" t="s">
        <v>1326</v>
      </c>
      <c r="F347" s="8"/>
      <c r="G347" s="8"/>
    </row>
    <row r="348" spans="4:12" ht="15.75">
      <c r="D348" s="3" t="s">
        <v>835</v>
      </c>
      <c r="E348" s="3" t="s">
        <v>699</v>
      </c>
      <c r="F348" s="3" t="s">
        <v>1327</v>
      </c>
      <c r="G348" s="3" t="s">
        <v>997</v>
      </c>
      <c r="H348" s="3" t="s">
        <v>1053</v>
      </c>
      <c r="I348" s="3" t="s">
        <v>1328</v>
      </c>
      <c r="J348" s="3" t="s">
        <v>1329</v>
      </c>
      <c r="K348" s="3" t="s">
        <v>1330</v>
      </c>
      <c r="L348" s="7" t="s">
        <v>1331</v>
      </c>
    </row>
    <row r="349" spans="4:12" ht="15.75">
      <c r="D349" s="23">
        <v>16000</v>
      </c>
      <c r="E349" s="23">
        <v>14.85</v>
      </c>
      <c r="F349" s="23">
        <v>70</v>
      </c>
      <c r="G349" s="23">
        <v>200</v>
      </c>
      <c r="H349" s="23">
        <v>160</v>
      </c>
      <c r="I349" s="4">
        <f>D349*E349/3600</f>
        <v>66</v>
      </c>
      <c r="J349" s="4">
        <f>I349*(H349+273)*G349/(1.02*F349*273)</f>
        <v>293.22498230061257</v>
      </c>
      <c r="K349" s="4">
        <f>8.58*(H349+273)*G349*10^-4/F349</f>
        <v>1.0614685714285714</v>
      </c>
      <c r="L349" s="4">
        <f>J349/(D349*E349)</f>
        <v>0.0012341118783695815</v>
      </c>
    </row>
    <row r="350" ht="15">
      <c r="D350" s="1" t="s">
        <v>1332</v>
      </c>
    </row>
    <row r="351" ht="15">
      <c r="D351" s="1" t="s">
        <v>1333</v>
      </c>
    </row>
    <row r="352" spans="4:11" ht="15">
      <c r="D352" s="1" t="s">
        <v>1334</v>
      </c>
      <c r="I352" s="24" t="s">
        <v>1335</v>
      </c>
      <c r="J352" s="24"/>
      <c r="K352" s="1" t="s">
        <v>1336</v>
      </c>
    </row>
    <row r="353" ht="15">
      <c r="D353" s="1" t="s">
        <v>1337</v>
      </c>
    </row>
    <row r="354" spans="4:11" ht="15">
      <c r="D354" s="1" t="s">
        <v>1338</v>
      </c>
      <c r="I354" s="24" t="s">
        <v>1339</v>
      </c>
      <c r="J354" s="24"/>
      <c r="K354" s="1" t="s">
        <v>1336</v>
      </c>
    </row>
    <row r="355" spans="4:11" ht="15">
      <c r="D355" s="1" t="s">
        <v>1340</v>
      </c>
      <c r="I355" s="24" t="s">
        <v>1341</v>
      </c>
      <c r="J355" s="24"/>
      <c r="K355" s="1" t="s">
        <v>1336</v>
      </c>
    </row>
    <row r="356" ht="15">
      <c r="E356" s="1" t="s">
        <v>1342</v>
      </c>
    </row>
    <row r="357" ht="15">
      <c r="D357" s="1" t="s">
        <v>1343</v>
      </c>
    </row>
    <row r="358" ht="15">
      <c r="E358" s="1" t="s">
        <v>1344</v>
      </c>
    </row>
    <row r="359" ht="15">
      <c r="E359" s="1" t="s">
        <v>1345</v>
      </c>
    </row>
    <row r="360" spans="4:10" ht="15">
      <c r="D360" s="1" t="s">
        <v>1346</v>
      </c>
      <c r="E360" s="24"/>
      <c r="F360" s="24"/>
      <c r="G360" s="24"/>
      <c r="H360" s="24"/>
      <c r="I360" s="24"/>
      <c r="J360" s="24"/>
    </row>
    <row r="361" spans="3:11" ht="15.75">
      <c r="C361" s="1" t="s">
        <v>1347</v>
      </c>
      <c r="G361" s="7" t="s">
        <v>1348</v>
      </c>
      <c r="I361" s="7" t="s">
        <v>1349</v>
      </c>
      <c r="K361" s="7" t="s">
        <v>1350</v>
      </c>
    </row>
    <row r="362" spans="6:11" ht="15">
      <c r="F362" s="1" t="s">
        <v>1351</v>
      </c>
      <c r="G362" s="4">
        <v>0.0018</v>
      </c>
      <c r="I362" s="4">
        <v>0.0021</v>
      </c>
      <c r="K362" s="4">
        <v>0.003</v>
      </c>
    </row>
    <row r="363" spans="6:11" ht="15">
      <c r="F363" s="1" t="s">
        <v>1352</v>
      </c>
      <c r="G363" s="4">
        <v>5.2E-15</v>
      </c>
      <c r="I363" s="4">
        <v>1.23E-14</v>
      </c>
      <c r="K363" s="4">
        <v>4E-13</v>
      </c>
    </row>
    <row r="364" ht="15">
      <c r="D364" s="1" t="s">
        <v>1353</v>
      </c>
    </row>
    <row r="365" ht="15">
      <c r="D365" s="1" t="s">
        <v>1354</v>
      </c>
    </row>
    <row r="366" ht="15">
      <c r="D366" s="1" t="s">
        <v>1355</v>
      </c>
    </row>
    <row r="367" ht="15">
      <c r="D367" s="1" t="s">
        <v>1356</v>
      </c>
    </row>
    <row r="368" ht="15">
      <c r="E368" s="1" t="s">
        <v>1357</v>
      </c>
    </row>
    <row r="369" ht="15">
      <c r="D369" s="1" t="s">
        <v>1358</v>
      </c>
    </row>
    <row r="370" ht="15">
      <c r="B370" s="1" t="s">
        <v>1359</v>
      </c>
    </row>
    <row r="371" ht="15">
      <c r="E371" s="1" t="s">
        <v>1239</v>
      </c>
    </row>
    <row r="372" spans="3:4" ht="15">
      <c r="C372" s="2" t="s">
        <v>1360</v>
      </c>
      <c r="D372" s="1" t="s">
        <v>1361</v>
      </c>
    </row>
    <row r="373" spans="5:6" ht="15">
      <c r="E373" s="8" t="s">
        <v>1362</v>
      </c>
      <c r="F373" s="8"/>
    </row>
    <row r="374" spans="4:12" ht="15">
      <c r="D374" s="3" t="s">
        <v>1351</v>
      </c>
      <c r="E374" s="3" t="s">
        <v>1363</v>
      </c>
      <c r="F374" s="3" t="s">
        <v>1352</v>
      </c>
      <c r="G374" s="3" t="s">
        <v>835</v>
      </c>
      <c r="H374" s="3" t="s">
        <v>699</v>
      </c>
      <c r="I374" s="3" t="s">
        <v>1012</v>
      </c>
      <c r="J374" s="3" t="s">
        <v>1331</v>
      </c>
      <c r="K374" s="3" t="s">
        <v>1329</v>
      </c>
      <c r="L374" s="3" t="s">
        <v>1330</v>
      </c>
    </row>
    <row r="375" spans="4:12" ht="15.75">
      <c r="D375" s="23">
        <v>0.0018</v>
      </c>
      <c r="E375" s="23">
        <v>70</v>
      </c>
      <c r="F375" s="23">
        <v>5.2E-15</v>
      </c>
      <c r="G375" s="23">
        <v>16000</v>
      </c>
      <c r="H375" s="23">
        <v>14.85</v>
      </c>
      <c r="I375" s="23">
        <v>160</v>
      </c>
      <c r="J375" s="4">
        <f>(1-E375/100)*D375+F375/100*(G375*H375)^2*(I375+273)</f>
        <v>0.0018111128601600002</v>
      </c>
      <c r="K375" s="4">
        <f>J375*G375*H375</f>
        <v>430.320415574016</v>
      </c>
      <c r="L375" s="4">
        <f>J375*860.4</f>
        <v>1.558281504881664</v>
      </c>
    </row>
    <row r="376" spans="4:6" ht="15">
      <c r="D376" s="24" t="s">
        <v>1364</v>
      </c>
      <c r="E376" s="24"/>
      <c r="F376" s="24"/>
    </row>
    <row r="377" spans="4:6" ht="15">
      <c r="D377" s="24" t="s">
        <v>1365</v>
      </c>
      <c r="E377" s="24"/>
      <c r="F377" s="24"/>
    </row>
    <row r="378" spans="4:6" ht="15">
      <c r="D378" s="24" t="s">
        <v>1366</v>
      </c>
      <c r="E378" s="24"/>
      <c r="F378" s="24"/>
    </row>
    <row r="380" spans="3:4" ht="15">
      <c r="C380" s="1" t="s">
        <v>1367</v>
      </c>
      <c r="D380" s="1" t="s">
        <v>1368</v>
      </c>
    </row>
    <row r="381" ht="15">
      <c r="E381" s="1" t="s">
        <v>1369</v>
      </c>
    </row>
    <row r="382" ht="15">
      <c r="D382" s="1" t="s">
        <v>1370</v>
      </c>
    </row>
    <row r="383" ht="15">
      <c r="D383" s="1" t="s">
        <v>1371</v>
      </c>
    </row>
    <row r="384" ht="15">
      <c r="E384" s="1" t="s">
        <v>1372</v>
      </c>
    </row>
    <row r="385" ht="15">
      <c r="E385" s="1" t="s">
        <v>1373</v>
      </c>
    </row>
    <row r="386" ht="15">
      <c r="E386" s="1" t="s">
        <v>1374</v>
      </c>
    </row>
    <row r="387" ht="15">
      <c r="D387" s="1" t="s">
        <v>1375</v>
      </c>
    </row>
    <row r="388" spans="5:9" ht="15">
      <c r="E388" s="8" t="s">
        <v>1376</v>
      </c>
      <c r="F388" s="8"/>
      <c r="G388" s="8"/>
      <c r="H388" s="8"/>
      <c r="I388" s="8"/>
    </row>
    <row r="389" spans="6:10" ht="15.75">
      <c r="F389" s="7" t="s">
        <v>1377</v>
      </c>
      <c r="G389" s="1" t="s">
        <v>1378</v>
      </c>
      <c r="H389" s="7" t="s">
        <v>1379</v>
      </c>
      <c r="I389" s="3" t="s">
        <v>1380</v>
      </c>
      <c r="J389" s="7" t="s">
        <v>1381</v>
      </c>
    </row>
    <row r="390" spans="4:6" ht="15">
      <c r="D390" s="1" t="s">
        <v>1382</v>
      </c>
      <c r="E390" s="5" t="s">
        <v>1383</v>
      </c>
      <c r="F390" s="5" t="s">
        <v>1384</v>
      </c>
    </row>
    <row r="391" spans="5:10" ht="15.75">
      <c r="E391" s="5" t="s">
        <v>1385</v>
      </c>
      <c r="F391" s="5" t="s">
        <v>1386</v>
      </c>
      <c r="G391" s="23">
        <v>16000</v>
      </c>
      <c r="H391" s="23">
        <v>11.844489795918367</v>
      </c>
      <c r="I391" s="23">
        <v>0.07</v>
      </c>
      <c r="J391" s="31">
        <f aca="true" t="shared" si="1" ref="J391:J397">I391*(G391*H391)^0.5</f>
        <v>30.473070078349508</v>
      </c>
    </row>
    <row r="392" spans="5:10" ht="15.75">
      <c r="E392" s="5" t="s">
        <v>1387</v>
      </c>
      <c r="F392" s="5" t="s">
        <v>1388</v>
      </c>
      <c r="G392" s="23">
        <v>16000</v>
      </c>
      <c r="H392" s="23">
        <v>12.523775510204082</v>
      </c>
      <c r="I392" s="23">
        <v>0.04</v>
      </c>
      <c r="J392" s="31">
        <f t="shared" si="1"/>
        <v>17.905548108372013</v>
      </c>
    </row>
    <row r="393" spans="5:10" ht="15.75">
      <c r="E393" s="5" t="s">
        <v>1389</v>
      </c>
      <c r="F393" s="5" t="s">
        <v>1390</v>
      </c>
      <c r="G393" s="23">
        <v>16000</v>
      </c>
      <c r="H393" s="23">
        <v>12.911938775510205</v>
      </c>
      <c r="I393" s="23">
        <v>0.03</v>
      </c>
      <c r="J393" s="31">
        <f t="shared" si="1"/>
        <v>13.635685474788092</v>
      </c>
    </row>
    <row r="394" spans="5:10" ht="15.75">
      <c r="E394" s="5" t="s">
        <v>1391</v>
      </c>
      <c r="F394" s="5" t="s">
        <v>1392</v>
      </c>
      <c r="G394" s="23">
        <v>16000</v>
      </c>
      <c r="H394" s="23">
        <v>13.203061224489797</v>
      </c>
      <c r="I394" s="23">
        <v>0.05</v>
      </c>
      <c r="J394" s="31">
        <f t="shared" si="1"/>
        <v>22.98091488560871</v>
      </c>
    </row>
    <row r="395" spans="5:10" ht="15.75">
      <c r="E395" s="5" t="s">
        <v>1393</v>
      </c>
      <c r="F395" s="5" t="s">
        <v>1394</v>
      </c>
      <c r="G395" s="23">
        <v>16000</v>
      </c>
      <c r="H395" s="23">
        <v>13.68826530612245</v>
      </c>
      <c r="I395" s="23">
        <v>0.03</v>
      </c>
      <c r="J395" s="31">
        <f t="shared" si="1"/>
        <v>14.039623228853518</v>
      </c>
    </row>
    <row r="396" spans="5:10" ht="15.75">
      <c r="E396" s="5" t="s">
        <v>1395</v>
      </c>
      <c r="F396" s="5" t="s">
        <v>1396</v>
      </c>
      <c r="G396" s="23">
        <v>16000</v>
      </c>
      <c r="H396" s="23">
        <v>13.979387755102042</v>
      </c>
      <c r="I396" s="23">
        <v>0.05</v>
      </c>
      <c r="J396" s="31">
        <f t="shared" si="1"/>
        <v>23.646892189124593</v>
      </c>
    </row>
    <row r="397" spans="5:10" ht="15.75">
      <c r="E397" s="1" t="s">
        <v>1397</v>
      </c>
      <c r="F397" s="5" t="s">
        <v>1348</v>
      </c>
      <c r="G397" s="23">
        <v>16000</v>
      </c>
      <c r="H397" s="23">
        <v>14.464591836734694</v>
      </c>
      <c r="I397" s="23">
        <v>0.04</v>
      </c>
      <c r="J397" s="31">
        <f t="shared" si="1"/>
        <v>19.243013044230057</v>
      </c>
    </row>
    <row r="399" ht="15">
      <c r="D399" s="1" t="s">
        <v>1398</v>
      </c>
    </row>
    <row r="400" ht="15">
      <c r="E400" s="1" t="s">
        <v>1399</v>
      </c>
    </row>
    <row r="401" ht="15">
      <c r="F401" s="2" t="s">
        <v>1400</v>
      </c>
    </row>
    <row r="402" ht="15">
      <c r="E402" s="1" t="s">
        <v>656</v>
      </c>
    </row>
    <row r="403" spans="4:5" ht="15">
      <c r="D403" s="1" t="s">
        <v>657</v>
      </c>
      <c r="E403" s="1" t="s">
        <v>658</v>
      </c>
    </row>
    <row r="404" spans="3:4" ht="15">
      <c r="C404" s="1" t="s">
        <v>659</v>
      </c>
      <c r="D404" s="1" t="s">
        <v>660</v>
      </c>
    </row>
    <row r="405" spans="3:10" ht="15">
      <c r="C405" s="1" t="s">
        <v>661</v>
      </c>
      <c r="D405" s="3" t="s">
        <v>662</v>
      </c>
      <c r="E405" s="3" t="s">
        <v>663</v>
      </c>
      <c r="F405" s="3" t="s">
        <v>664</v>
      </c>
      <c r="G405" s="3" t="s">
        <v>665</v>
      </c>
      <c r="H405" s="3" t="s">
        <v>666</v>
      </c>
      <c r="I405" s="3" t="s">
        <v>402</v>
      </c>
      <c r="J405" s="3" t="s">
        <v>667</v>
      </c>
    </row>
    <row r="406" spans="3:10" ht="15">
      <c r="C406" s="1" t="s">
        <v>668</v>
      </c>
      <c r="D406" s="4">
        <v>9.51</v>
      </c>
      <c r="E406" s="4">
        <v>1.01</v>
      </c>
      <c r="F406" s="4">
        <v>7.54</v>
      </c>
      <c r="G406" s="4">
        <v>2.13</v>
      </c>
      <c r="H406" s="4">
        <v>10.68</v>
      </c>
      <c r="I406" s="4">
        <v>8560</v>
      </c>
      <c r="J406" s="4">
        <v>3.08</v>
      </c>
    </row>
    <row r="407" spans="3:4" ht="15">
      <c r="C407" s="1" t="s">
        <v>669</v>
      </c>
      <c r="D407" s="1" t="s">
        <v>670</v>
      </c>
    </row>
    <row r="408" spans="3:8" ht="15">
      <c r="C408" s="1" t="s">
        <v>671</v>
      </c>
      <c r="D408" s="1" t="s">
        <v>672</v>
      </c>
      <c r="H408" s="1" t="s">
        <v>1401</v>
      </c>
    </row>
    <row r="409" spans="4:9" ht="15">
      <c r="D409" s="1" t="s">
        <v>1402</v>
      </c>
      <c r="I409" s="1" t="s">
        <v>1403</v>
      </c>
    </row>
    <row r="410" spans="4:8" ht="15">
      <c r="D410" s="1" t="s">
        <v>1404</v>
      </c>
      <c r="H410" s="1" t="s">
        <v>1405</v>
      </c>
    </row>
    <row r="411" spans="4:5" ht="15">
      <c r="D411" s="1" t="s">
        <v>1406</v>
      </c>
      <c r="E411" s="1" t="s">
        <v>673</v>
      </c>
    </row>
    <row r="412" ht="15">
      <c r="D412" s="1" t="s">
        <v>1407</v>
      </c>
    </row>
    <row r="413" spans="4:7" ht="15">
      <c r="D413" s="1" t="s">
        <v>1408</v>
      </c>
      <c r="G413" s="1" t="s">
        <v>1409</v>
      </c>
    </row>
    <row r="414" spans="4:7" ht="15">
      <c r="D414" s="1" t="s">
        <v>1410</v>
      </c>
      <c r="G414" s="1" t="s">
        <v>1411</v>
      </c>
    </row>
    <row r="415" ht="15">
      <c r="E415" s="1" t="s">
        <v>1239</v>
      </c>
    </row>
    <row r="416" ht="15">
      <c r="D416" s="1" t="s">
        <v>1412</v>
      </c>
    </row>
    <row r="417" ht="15">
      <c r="D417" s="1" t="s">
        <v>1413</v>
      </c>
    </row>
    <row r="418" ht="15">
      <c r="D418" s="1" t="s">
        <v>1414</v>
      </c>
    </row>
    <row r="419" ht="15">
      <c r="D419" s="1" t="s">
        <v>1415</v>
      </c>
    </row>
    <row r="420" spans="4:10" ht="15">
      <c r="D420" s="1" t="s">
        <v>1416</v>
      </c>
      <c r="E420" s="1" t="s">
        <v>1417</v>
      </c>
      <c r="J420" s="1" t="s">
        <v>1418</v>
      </c>
    </row>
    <row r="421" ht="15">
      <c r="E421" s="1" t="s">
        <v>1419</v>
      </c>
    </row>
    <row r="422" ht="15">
      <c r="D422" s="1" t="s">
        <v>674</v>
      </c>
    </row>
    <row r="423" spans="3:8" ht="15">
      <c r="C423" s="1" t="s">
        <v>675</v>
      </c>
      <c r="D423" s="1" t="s">
        <v>676</v>
      </c>
      <c r="E423" s="1" t="s">
        <v>677</v>
      </c>
      <c r="G423" s="1" t="s">
        <v>1420</v>
      </c>
      <c r="H423" s="1" t="s">
        <v>1421</v>
      </c>
    </row>
    <row r="424" ht="15">
      <c r="D424" s="1" t="s">
        <v>680</v>
      </c>
    </row>
    <row r="425" spans="3:9" ht="15">
      <c r="C425" s="1" t="s">
        <v>1422</v>
      </c>
      <c r="D425" s="1" t="s">
        <v>1423</v>
      </c>
      <c r="I425" s="1" t="s">
        <v>1424</v>
      </c>
    </row>
    <row r="426" spans="4:9" ht="15">
      <c r="D426" s="1" t="s">
        <v>1425</v>
      </c>
      <c r="I426" s="1" t="s">
        <v>1426</v>
      </c>
    </row>
    <row r="427" spans="4:5" ht="15">
      <c r="D427" s="1" t="s">
        <v>1427</v>
      </c>
      <c r="E427" s="1" t="s">
        <v>1428</v>
      </c>
    </row>
    <row r="428" ht="15">
      <c r="E428" s="1" t="s">
        <v>691</v>
      </c>
    </row>
    <row r="429" spans="4:5" ht="15">
      <c r="D429" s="2" t="s">
        <v>1429</v>
      </c>
      <c r="E429" s="1" t="s">
        <v>679</v>
      </c>
    </row>
    <row r="430" ht="15">
      <c r="E430" s="1" t="s">
        <v>1430</v>
      </c>
    </row>
    <row r="431" spans="4:5" ht="15">
      <c r="D431" s="2" t="s">
        <v>1431</v>
      </c>
      <c r="E431" s="1" t="s">
        <v>692</v>
      </c>
    </row>
    <row r="432" ht="15">
      <c r="E432" s="1" t="s">
        <v>1239</v>
      </c>
    </row>
    <row r="433" ht="15">
      <c r="D433" s="1" t="s">
        <v>681</v>
      </c>
    </row>
    <row r="434" ht="15">
      <c r="D434" s="1" t="s">
        <v>682</v>
      </c>
    </row>
    <row r="435" ht="15">
      <c r="D435" s="1" t="s">
        <v>683</v>
      </c>
    </row>
    <row r="436" ht="15">
      <c r="D436" s="1" t="s">
        <v>684</v>
      </c>
    </row>
    <row r="437" spans="2:3" ht="15">
      <c r="B437" s="1" t="s">
        <v>685</v>
      </c>
      <c r="C437" s="1" t="s">
        <v>686</v>
      </c>
    </row>
    <row r="438" spans="3:11" ht="15">
      <c r="C438" s="1" t="s">
        <v>687</v>
      </c>
      <c r="D438" s="1" t="s">
        <v>688</v>
      </c>
      <c r="K438" s="1" t="s">
        <v>689</v>
      </c>
    </row>
    <row r="439" ht="15">
      <c r="E439" s="1" t="s">
        <v>772</v>
      </c>
    </row>
    <row r="440" spans="3:8" ht="15">
      <c r="C440" s="1" t="s">
        <v>773</v>
      </c>
      <c r="D440" s="1" t="s">
        <v>774</v>
      </c>
      <c r="G440" s="1" t="s">
        <v>775</v>
      </c>
      <c r="H440" s="1" t="s">
        <v>776</v>
      </c>
    </row>
    <row r="441" spans="3:8" ht="15">
      <c r="C441" s="1" t="s">
        <v>777</v>
      </c>
      <c r="D441" s="1" t="s">
        <v>778</v>
      </c>
      <c r="G441" s="1" t="s">
        <v>779</v>
      </c>
      <c r="H441" s="1" t="s">
        <v>780</v>
      </c>
    </row>
    <row r="442" ht="15">
      <c r="E442" s="1" t="s">
        <v>781</v>
      </c>
    </row>
    <row r="443" spans="2:3" ht="15">
      <c r="B443" s="1" t="s">
        <v>782</v>
      </c>
      <c r="C443" s="1" t="s">
        <v>783</v>
      </c>
    </row>
    <row r="444" spans="2:3" ht="15">
      <c r="B444" s="1" t="s">
        <v>784</v>
      </c>
      <c r="C444" s="1" t="s">
        <v>785</v>
      </c>
    </row>
    <row r="445" spans="3:12" ht="15">
      <c r="C445" s="1" t="s">
        <v>1432</v>
      </c>
      <c r="D445" s="1" t="s">
        <v>1433</v>
      </c>
      <c r="J445" s="24" t="s">
        <v>1434</v>
      </c>
      <c r="K445" s="24"/>
      <c r="L445" s="24"/>
    </row>
    <row r="446" spans="4:9" ht="15">
      <c r="D446" s="1" t="s">
        <v>1435</v>
      </c>
      <c r="F446" s="1" t="s">
        <v>1436</v>
      </c>
      <c r="I446" s="1" t="s">
        <v>1437</v>
      </c>
    </row>
    <row r="447" ht="15">
      <c r="D447" s="1" t="s">
        <v>1438</v>
      </c>
    </row>
    <row r="448" ht="15">
      <c r="D448" s="1" t="s">
        <v>1439</v>
      </c>
    </row>
    <row r="449" spans="3:4" ht="15">
      <c r="C449" s="2" t="s">
        <v>786</v>
      </c>
      <c r="D449" s="1" t="s">
        <v>787</v>
      </c>
    </row>
    <row r="450" spans="3:5" ht="15">
      <c r="C450" s="2" t="s">
        <v>788</v>
      </c>
      <c r="D450" s="1" t="s">
        <v>789</v>
      </c>
      <c r="E450" s="1" t="s">
        <v>790</v>
      </c>
    </row>
    <row r="451" spans="3:4" ht="15">
      <c r="C451" s="2" t="s">
        <v>791</v>
      </c>
      <c r="D451" s="1" t="s">
        <v>792</v>
      </c>
    </row>
    <row r="452" spans="4:5" ht="15">
      <c r="D452" s="1" t="s">
        <v>1440</v>
      </c>
      <c r="E452" s="1" t="s">
        <v>793</v>
      </c>
    </row>
    <row r="453" spans="3:4" ht="15">
      <c r="C453" s="1" t="s">
        <v>794</v>
      </c>
      <c r="D453" s="1" t="s">
        <v>795</v>
      </c>
    </row>
    <row r="454" spans="3:4" ht="15">
      <c r="C454" s="1" t="s">
        <v>796</v>
      </c>
      <c r="D454" s="1" t="s">
        <v>797</v>
      </c>
    </row>
    <row r="455" spans="3:4" ht="15">
      <c r="C455" s="1" t="s">
        <v>798</v>
      </c>
      <c r="D455" s="1" t="s">
        <v>799</v>
      </c>
    </row>
    <row r="456" spans="3:4" ht="15">
      <c r="C456" s="1" t="s">
        <v>798</v>
      </c>
      <c r="D456" s="1" t="s">
        <v>800</v>
      </c>
    </row>
    <row r="457" spans="3:4" ht="15">
      <c r="C457" s="1" t="s">
        <v>801</v>
      </c>
      <c r="D457" s="1" t="s">
        <v>802</v>
      </c>
    </row>
    <row r="458" spans="2:4" ht="15">
      <c r="B458" s="2" t="s">
        <v>788</v>
      </c>
      <c r="C458" s="1" t="s">
        <v>803</v>
      </c>
      <c r="D458" s="1" t="s">
        <v>804</v>
      </c>
    </row>
    <row r="459" ht="15">
      <c r="E459" s="1" t="s">
        <v>805</v>
      </c>
    </row>
    <row r="460" spans="3:4" ht="15">
      <c r="C460" s="2" t="s">
        <v>806</v>
      </c>
      <c r="D460" s="1" t="s">
        <v>807</v>
      </c>
    </row>
    <row r="461" spans="4:6" ht="15">
      <c r="D461" s="2" t="s">
        <v>1441</v>
      </c>
      <c r="E461" s="24" t="s">
        <v>1442</v>
      </c>
      <c r="F461" s="24"/>
    </row>
    <row r="462" spans="4:7" ht="15">
      <c r="D462" s="1" t="s">
        <v>893</v>
      </c>
      <c r="G462" s="1" t="s">
        <v>330</v>
      </c>
    </row>
    <row r="463" ht="15">
      <c r="E463" s="1" t="s">
        <v>1443</v>
      </c>
    </row>
    <row r="464" spans="4:8" ht="15">
      <c r="D464" s="1" t="s">
        <v>1444</v>
      </c>
      <c r="H464" s="1" t="s">
        <v>1445</v>
      </c>
    </row>
    <row r="465" spans="4:5" ht="15">
      <c r="D465" s="2" t="s">
        <v>1446</v>
      </c>
      <c r="E465" s="1" t="s">
        <v>1447</v>
      </c>
    </row>
    <row r="466" ht="15">
      <c r="D466" s="1" t="s">
        <v>1448</v>
      </c>
    </row>
    <row r="467" ht="15">
      <c r="E467" s="1" t="s">
        <v>1449</v>
      </c>
    </row>
    <row r="468" ht="15">
      <c r="D468" s="1" t="s">
        <v>1450</v>
      </c>
    </row>
    <row r="469" spans="4:5" ht="15">
      <c r="D469" s="1" t="s">
        <v>1451</v>
      </c>
      <c r="E469" s="1" t="s">
        <v>1452</v>
      </c>
    </row>
    <row r="470" ht="15">
      <c r="E470" s="1" t="s">
        <v>1453</v>
      </c>
    </row>
    <row r="471" ht="15">
      <c r="E471" s="1" t="s">
        <v>1454</v>
      </c>
    </row>
    <row r="472" spans="4:11" ht="15">
      <c r="D472" s="24" t="s">
        <v>928</v>
      </c>
      <c r="E472" s="24"/>
      <c r="F472" s="24"/>
      <c r="K472" s="1" t="s">
        <v>929</v>
      </c>
    </row>
    <row r="473" spans="4:6" ht="15">
      <c r="D473" s="1" t="s">
        <v>930</v>
      </c>
      <c r="F473" s="1" t="s">
        <v>931</v>
      </c>
    </row>
    <row r="474" ht="15">
      <c r="D474" s="1" t="s">
        <v>932</v>
      </c>
    </row>
    <row r="475" ht="15">
      <c r="D475" s="1" t="s">
        <v>933</v>
      </c>
    </row>
    <row r="476" ht="15">
      <c r="D476" s="1" t="s">
        <v>1455</v>
      </c>
    </row>
    <row r="478" ht="15">
      <c r="E478" s="1" t="s">
        <v>1456</v>
      </c>
    </row>
    <row r="479" ht="15">
      <c r="D479" s="1" t="s">
        <v>1457</v>
      </c>
    </row>
    <row r="480" spans="4:5" ht="15">
      <c r="D480" s="2" t="s">
        <v>1458</v>
      </c>
      <c r="E480" s="1" t="s">
        <v>1459</v>
      </c>
    </row>
    <row r="481" spans="3:9" ht="15">
      <c r="C481" s="1" t="s">
        <v>1460</v>
      </c>
      <c r="D481" s="3" t="s">
        <v>1052</v>
      </c>
      <c r="E481" s="3" t="s">
        <v>338</v>
      </c>
      <c r="F481" s="3" t="s">
        <v>1012</v>
      </c>
      <c r="G481" s="3" t="s">
        <v>1075</v>
      </c>
      <c r="H481" s="3" t="s">
        <v>1003</v>
      </c>
      <c r="I481" s="3" t="s">
        <v>1004</v>
      </c>
    </row>
    <row r="482" spans="4:9" ht="15">
      <c r="D482" s="4">
        <v>1</v>
      </c>
      <c r="E482" s="4">
        <v>563.0875032805217</v>
      </c>
      <c r="F482" s="4">
        <v>805.1949934232352</v>
      </c>
      <c r="G482" s="4">
        <v>452.49613781588243</v>
      </c>
      <c r="H482" s="4">
        <v>352.6988556073528</v>
      </c>
      <c r="I482" s="4">
        <v>201.4239472516539</v>
      </c>
    </row>
    <row r="483" spans="4:9" ht="15">
      <c r="D483" s="4">
        <v>2</v>
      </c>
      <c r="E483" s="4">
        <v>568.328206180819</v>
      </c>
      <c r="F483" s="4">
        <v>771.7670637372175</v>
      </c>
      <c r="G483" s="4">
        <v>477.689791545944</v>
      </c>
      <c r="H483" s="4">
        <v>294.07727219127355</v>
      </c>
      <c r="I483" s="4">
        <v>165.08293546864704</v>
      </c>
    </row>
    <row r="484" spans="4:9" ht="15">
      <c r="D484" s="4">
        <v>3</v>
      </c>
      <c r="E484" s="4">
        <v>573.4044652058697</v>
      </c>
      <c r="F484" s="4">
        <v>744.2204826096764</v>
      </c>
      <c r="G484" s="4">
        <v>498.8554982960311</v>
      </c>
      <c r="H484" s="4">
        <v>245.36498431364532</v>
      </c>
      <c r="I484" s="4">
        <v>135.77865790357603</v>
      </c>
    </row>
    <row r="485" spans="4:9" ht="15">
      <c r="D485" s="4">
        <v>4</v>
      </c>
      <c r="E485" s="4">
        <v>578.0609039815143</v>
      </c>
      <c r="F485" s="4">
        <v>721.459295769969</v>
      </c>
      <c r="G485" s="4">
        <v>516.5411681612904</v>
      </c>
      <c r="H485" s="4">
        <v>204.91812760867856</v>
      </c>
      <c r="I485" s="4">
        <v>112.04806063047081</v>
      </c>
    </row>
    <row r="486" spans="3:9" ht="15">
      <c r="C486" s="2" t="s">
        <v>1461</v>
      </c>
      <c r="D486" s="4">
        <v>5</v>
      </c>
      <c r="E486" s="4">
        <v>582.2079456928371</v>
      </c>
      <c r="F486" s="4">
        <v>702.6032014467181</v>
      </c>
      <c r="G486" s="4">
        <v>531.2884158273146</v>
      </c>
      <c r="H486" s="4">
        <v>171.31478561940355</v>
      </c>
      <c r="I486" s="4">
        <v>92.74153234857611</v>
      </c>
    </row>
    <row r="487" ht="15">
      <c r="E487" s="1" t="s">
        <v>1462</v>
      </c>
    </row>
    <row r="488" spans="4:9" ht="15">
      <c r="D488" s="3" t="s">
        <v>1052</v>
      </c>
      <c r="E488" s="3" t="s">
        <v>338</v>
      </c>
      <c r="F488" s="3" t="s">
        <v>1012</v>
      </c>
      <c r="G488" s="3" t="s">
        <v>1075</v>
      </c>
      <c r="H488" s="3" t="s">
        <v>1003</v>
      </c>
      <c r="I488" s="3" t="s">
        <v>1004</v>
      </c>
    </row>
    <row r="489" spans="4:9" ht="15">
      <c r="D489" s="4">
        <v>1</v>
      </c>
      <c r="E489" s="4">
        <v>526.217652384128</v>
      </c>
      <c r="F489" s="4">
        <v>704.3118162982333</v>
      </c>
      <c r="G489" s="4">
        <v>452.49613781588243</v>
      </c>
      <c r="H489" s="4">
        <v>251.8156784823509</v>
      </c>
      <c r="I489" s="4">
        <v>134.27158982365813</v>
      </c>
    </row>
    <row r="490" spans="4:9" ht="15">
      <c r="D490" s="4">
        <v>2</v>
      </c>
      <c r="E490" s="4">
        <v>546.490324370147</v>
      </c>
      <c r="F490" s="4">
        <v>727.9817254644857</v>
      </c>
      <c r="G490" s="4">
        <v>469.20549140814956</v>
      </c>
      <c r="H490" s="4">
        <v>258.7762340563362</v>
      </c>
      <c r="I490" s="4">
        <v>140.76158705959458</v>
      </c>
    </row>
    <row r="491" spans="4:9" ht="15">
      <c r="D491" s="4">
        <v>3</v>
      </c>
      <c r="E491" s="4">
        <v>568.0414246748205</v>
      </c>
      <c r="F491" s="4">
        <v>752.6677254322219</v>
      </c>
      <c r="G491" s="4">
        <v>487.07663784137867</v>
      </c>
      <c r="H491" s="4">
        <v>265.59108759084324</v>
      </c>
      <c r="I491" s="4">
        <v>147.46401659716398</v>
      </c>
    </row>
    <row r="492" spans="4:9" ht="15">
      <c r="D492" s="4">
        <v>4</v>
      </c>
      <c r="E492" s="4">
        <v>590.891748259978</v>
      </c>
      <c r="F492" s="4">
        <v>778.39587574902</v>
      </c>
      <c r="G492" s="4">
        <v>506.1213342907479</v>
      </c>
      <c r="H492" s="4">
        <v>272.2745414582721</v>
      </c>
      <c r="I492" s="4">
        <v>154.39533927536695</v>
      </c>
    </row>
    <row r="493" spans="4:9" ht="15">
      <c r="D493" s="4">
        <v>5</v>
      </c>
      <c r="E493" s="4">
        <v>615.0598867019489</v>
      </c>
      <c r="F493" s="4">
        <v>805.1949934232352</v>
      </c>
      <c r="G493" s="4">
        <v>526.3469520382345</v>
      </c>
      <c r="H493" s="4">
        <v>278.8480413850008</v>
      </c>
      <c r="I493" s="4">
        <v>161.57599101131348</v>
      </c>
    </row>
    <row r="495" spans="3:9" ht="15">
      <c r="C495" s="2" t="s">
        <v>1463</v>
      </c>
      <c r="D495" s="24" t="s">
        <v>1464</v>
      </c>
      <c r="E495" s="24"/>
      <c r="F495" s="24"/>
      <c r="G495" s="24"/>
      <c r="H495" s="24"/>
      <c r="I495" s="24"/>
    </row>
    <row r="496" ht="15">
      <c r="E496" s="1" t="s">
        <v>1465</v>
      </c>
    </row>
    <row r="497" spans="4:8" ht="15">
      <c r="D497" s="1" t="s">
        <v>1466</v>
      </c>
      <c r="H497" s="1" t="s">
        <v>1467</v>
      </c>
    </row>
    <row r="498" ht="15">
      <c r="D498" s="1" t="s">
        <v>1468</v>
      </c>
    </row>
    <row r="499" ht="15">
      <c r="E499" s="1" t="s">
        <v>1469</v>
      </c>
    </row>
    <row r="500" ht="15">
      <c r="D500" s="1" t="s">
        <v>1466</v>
      </c>
    </row>
    <row r="501" ht="15">
      <c r="F501" s="1" t="s">
        <v>1470</v>
      </c>
    </row>
    <row r="502" ht="15">
      <c r="D502" s="1" t="s">
        <v>1471</v>
      </c>
    </row>
    <row r="503" ht="15">
      <c r="E503" s="1" t="s">
        <v>1472</v>
      </c>
    </row>
    <row r="504" ht="15">
      <c r="D504" s="1" t="s">
        <v>1473</v>
      </c>
    </row>
    <row r="505" spans="3:4" ht="15">
      <c r="C505" s="1" t="s">
        <v>1474</v>
      </c>
      <c r="D505" s="1" t="s">
        <v>1475</v>
      </c>
    </row>
    <row r="506" spans="5:9" ht="15">
      <c r="E506" s="3" t="s">
        <v>662</v>
      </c>
      <c r="F506" s="3" t="s">
        <v>1159</v>
      </c>
      <c r="G506" s="3" t="s">
        <v>664</v>
      </c>
      <c r="H506" s="3" t="s">
        <v>665</v>
      </c>
      <c r="I506" s="3" t="s">
        <v>666</v>
      </c>
    </row>
    <row r="507" spans="5:9" ht="15">
      <c r="E507" s="4">
        <v>9.51</v>
      </c>
      <c r="F507" s="4">
        <v>1.01</v>
      </c>
      <c r="G507" s="4">
        <v>7.54</v>
      </c>
      <c r="H507" s="4">
        <v>2.13</v>
      </c>
      <c r="I507" s="4">
        <v>10.68</v>
      </c>
    </row>
    <row r="508" ht="15">
      <c r="D508" s="1" t="s">
        <v>1476</v>
      </c>
    </row>
    <row r="509" spans="4:5" ht="15">
      <c r="D509" s="1" t="s">
        <v>1477</v>
      </c>
      <c r="E509" s="1" t="s">
        <v>1478</v>
      </c>
    </row>
    <row r="510" ht="15">
      <c r="D510" s="1" t="s">
        <v>1479</v>
      </c>
    </row>
    <row r="511" ht="15">
      <c r="D511" s="1" t="s">
        <v>1480</v>
      </c>
    </row>
    <row r="512" ht="15">
      <c r="D512" s="1" t="s">
        <v>1481</v>
      </c>
    </row>
    <row r="513" ht="15">
      <c r="D513" s="1" t="s">
        <v>1482</v>
      </c>
    </row>
    <row r="514" ht="15">
      <c r="E514" s="1" t="s">
        <v>1469</v>
      </c>
    </row>
    <row r="515" ht="15">
      <c r="A515" s="1" t="s">
        <v>1483</v>
      </c>
    </row>
    <row r="516" ht="15">
      <c r="A516" s="1" t="s">
        <v>1484</v>
      </c>
    </row>
    <row r="517" ht="15">
      <c r="D517" s="1" t="s">
        <v>1485</v>
      </c>
    </row>
    <row r="518" ht="15">
      <c r="E518" s="1" t="s">
        <v>1472</v>
      </c>
    </row>
    <row r="519" ht="15">
      <c r="D519" s="1" t="s">
        <v>1486</v>
      </c>
    </row>
    <row r="520" ht="15">
      <c r="E520" s="2" t="s">
        <v>1487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K1048"/>
  <sheetViews>
    <sheetView showGridLines="0" zoomScale="75" zoomScaleNormal="75" workbookViewId="0" topLeftCell="A1">
      <selection activeCell="D21" sqref="D21:M21"/>
    </sheetView>
  </sheetViews>
  <sheetFormatPr defaultColWidth="9.796875" defaultRowHeight="15"/>
  <cols>
    <col min="1" max="3" width="2.796875" style="0" customWidth="1"/>
    <col min="4" max="4" width="6.796875" style="0" customWidth="1"/>
    <col min="5" max="79" width="7.796875" style="0" customWidth="1"/>
  </cols>
  <sheetData>
    <row r="1" ht="15">
      <c r="E1" s="1" t="s">
        <v>627</v>
      </c>
    </row>
    <row r="2" ht="15">
      <c r="F2" s="1" t="s">
        <v>628</v>
      </c>
    </row>
    <row r="3" spans="5:13" ht="15">
      <c r="E3" s="20" t="s">
        <v>1121</v>
      </c>
      <c r="F3" s="20"/>
      <c r="G3" s="20"/>
      <c r="H3" s="20"/>
      <c r="I3" s="20"/>
      <c r="J3" s="20"/>
      <c r="K3" s="20"/>
      <c r="L3" s="20"/>
      <c r="M3" s="20"/>
    </row>
    <row r="4" ht="15">
      <c r="H4" s="2" t="s">
        <v>629</v>
      </c>
    </row>
    <row r="5" ht="15">
      <c r="D5" s="1" t="s">
        <v>75</v>
      </c>
    </row>
    <row r="6" ht="15">
      <c r="D6" s="1" t="s">
        <v>76</v>
      </c>
    </row>
    <row r="7" ht="15">
      <c r="D7" s="1" t="s">
        <v>77</v>
      </c>
    </row>
    <row r="8" ht="15">
      <c r="D8" s="1" t="s">
        <v>630</v>
      </c>
    </row>
    <row r="9" ht="15">
      <c r="D9" s="1" t="s">
        <v>81</v>
      </c>
    </row>
    <row r="10" spans="2:3" ht="15">
      <c r="B10" s="1" t="s">
        <v>494</v>
      </c>
      <c r="C10" s="1" t="s">
        <v>549</v>
      </c>
    </row>
    <row r="11" spans="2:3" ht="15">
      <c r="B11" s="1" t="s">
        <v>495</v>
      </c>
      <c r="C11" s="1" t="s">
        <v>550</v>
      </c>
    </row>
    <row r="12" spans="2:3" ht="15">
      <c r="B12" s="1" t="s">
        <v>495</v>
      </c>
      <c r="C12" s="1" t="s">
        <v>551</v>
      </c>
    </row>
    <row r="13" spans="2:3" ht="15">
      <c r="B13" s="1" t="s">
        <v>496</v>
      </c>
      <c r="C13" s="1" t="s">
        <v>552</v>
      </c>
    </row>
    <row r="14" spans="2:3" ht="15">
      <c r="B14" s="1" t="s">
        <v>631</v>
      </c>
      <c r="C14" s="1" t="s">
        <v>553</v>
      </c>
    </row>
    <row r="15" spans="2:7" ht="15">
      <c r="B15" s="2" t="s">
        <v>632</v>
      </c>
      <c r="C15" s="1" t="s">
        <v>633</v>
      </c>
      <c r="G15" s="2" t="s">
        <v>634</v>
      </c>
    </row>
    <row r="16" spans="2:3" ht="15">
      <c r="B16" s="1" t="s">
        <v>635</v>
      </c>
      <c r="C16" s="1" t="s">
        <v>636</v>
      </c>
    </row>
    <row r="17" ht="15">
      <c r="C17" s="1" t="s">
        <v>637</v>
      </c>
    </row>
    <row r="18" spans="3:4" ht="15">
      <c r="C18" s="1" t="s">
        <v>638</v>
      </c>
      <c r="D18" s="1" t="s">
        <v>639</v>
      </c>
    </row>
    <row r="19" ht="15">
      <c r="C19" s="1" t="s">
        <v>640</v>
      </c>
    </row>
    <row r="20" ht="15">
      <c r="C20" s="1"/>
    </row>
    <row r="21" spans="4:13" ht="15.75">
      <c r="D21" s="41" t="s">
        <v>8</v>
      </c>
      <c r="E21" s="20"/>
      <c r="F21" s="20"/>
      <c r="G21" s="20"/>
      <c r="H21" s="20"/>
      <c r="I21" s="20"/>
      <c r="J21" s="20"/>
      <c r="K21" s="20"/>
      <c r="L21" s="20"/>
      <c r="M21" s="20"/>
    </row>
    <row r="22" spans="2:4" ht="19.5">
      <c r="B22" s="2" t="s">
        <v>509</v>
      </c>
      <c r="C22" s="2" t="s">
        <v>641</v>
      </c>
      <c r="D22" s="22" t="s">
        <v>86</v>
      </c>
    </row>
    <row r="23" spans="3:10" ht="15">
      <c r="C23" s="1" t="s">
        <v>4</v>
      </c>
      <c r="D23" s="1" t="s">
        <v>87</v>
      </c>
      <c r="E23" s="1" t="s">
        <v>304</v>
      </c>
      <c r="F23" s="3" t="s">
        <v>369</v>
      </c>
      <c r="G23" s="1" t="s">
        <v>88</v>
      </c>
      <c r="H23" s="1" t="s">
        <v>387</v>
      </c>
      <c r="I23" s="3" t="s">
        <v>404</v>
      </c>
      <c r="J23" s="3" t="s">
        <v>544</v>
      </c>
    </row>
    <row r="24" spans="4:10" ht="15.75">
      <c r="D24" s="35">
        <f>1-E24</f>
        <v>0.8</v>
      </c>
      <c r="E24" s="4">
        <v>0.2</v>
      </c>
      <c r="F24" s="4">
        <v>32</v>
      </c>
      <c r="G24" s="35">
        <f>(0.309701-0.00000555238*(J24+100)^1.1+0.0000000160444*(J24+100)^2.2-0.00000000000568436*(J24+100)^3.3+0.000000000000000856875*(J24+100)^4.4-0.0000000000000000000482474*(J24+100)^5.5)*J24</f>
        <v>31.89246156949176</v>
      </c>
      <c r="H24" s="35">
        <f>(0.317715-0.000574557*(J24+100)^0.7+0.0000164618*(J24+100)^1.4-0.000000119525*(J24+100)^2.1+0.000000000385185*(J24+100)^2.8-0.000000000000467365*(J24+100)^3.5)*J24</f>
        <v>32.43015372203296</v>
      </c>
      <c r="I24" s="35">
        <f>D24*G24+E24*H24</f>
        <v>32</v>
      </c>
      <c r="J24" s="35">
        <f>J24+2.5*(F24-I24)</f>
        <v>103.0533709720249</v>
      </c>
    </row>
    <row r="25" spans="3:4" ht="19.5">
      <c r="C25" s="2" t="s">
        <v>589</v>
      </c>
      <c r="D25" s="22" t="s">
        <v>642</v>
      </c>
    </row>
    <row r="26" spans="3:9" ht="15">
      <c r="C26" s="1" t="s">
        <v>643</v>
      </c>
      <c r="D26" s="1" t="s">
        <v>644</v>
      </c>
      <c r="E26" s="1" t="s">
        <v>102</v>
      </c>
      <c r="F26" s="1" t="s">
        <v>645</v>
      </c>
      <c r="G26" s="1" t="s">
        <v>646</v>
      </c>
      <c r="H26" s="3" t="s">
        <v>369</v>
      </c>
      <c r="I26" s="3" t="s">
        <v>647</v>
      </c>
    </row>
    <row r="27" spans="4:9" ht="15.75">
      <c r="D27" s="35">
        <f>1-E27-F27-G27</f>
        <v>0.7000000000000001</v>
      </c>
      <c r="E27" s="4">
        <v>0.1</v>
      </c>
      <c r="F27" s="4">
        <v>0.1</v>
      </c>
      <c r="G27" s="4">
        <v>0.1</v>
      </c>
      <c r="H27" s="4">
        <v>32.47</v>
      </c>
      <c r="I27" s="35">
        <f>E27+F27</f>
        <v>0.2</v>
      </c>
    </row>
    <row r="28" spans="4:9" ht="15">
      <c r="D28" s="1" t="s">
        <v>88</v>
      </c>
      <c r="E28" s="1" t="s">
        <v>306</v>
      </c>
      <c r="F28" s="1" t="s">
        <v>371</v>
      </c>
      <c r="G28" s="1" t="s">
        <v>387</v>
      </c>
      <c r="H28" s="3" t="s">
        <v>404</v>
      </c>
      <c r="I28" s="3" t="s">
        <v>544</v>
      </c>
    </row>
    <row r="29" spans="4:9" ht="15.75">
      <c r="D29" s="35">
        <f>(0.309701-0.00000555238*(I29+100)^1.1+0.0000000160444*(I29+100)^2.2-0.00000000000568436*(I29+100)^3.3+0.000000000000000856875*(I29+100)^4.4-0.0000000000000000000482474*(I29+100)^5.5)*I29</f>
        <v>30.946399811876955</v>
      </c>
      <c r="E29" s="35">
        <f>(0.356179-0.0000326182*(I29+100)^0.8+0.00000129519*(I29+100)^1.6-0.00000000148934*(I29+100)^2.4-0.000000000000594678*(I29+100)^3.2+0.00000000000000129158*(I29+100)^4)*I29</f>
        <v>35.964396806829825</v>
      </c>
      <c r="F29" s="35">
        <f>(0.34584+0.0008688*(I29+100)^0.82-0.00000109945*(I29+100)^1.64+0.00000000054341*(I29+100)^2.46)*I29</f>
        <v>40.65242948834585</v>
      </c>
      <c r="G29" s="35">
        <f>(0.317715-0.000574557*(I29+100)^0.7+0.0000164618*(I29+100)^1.4-0.000000119525*(I29+100)^2.1+0.000000000385185*(I29+100)^2.8-0.000000000000467365*(I29+100)^3.5)*I29</f>
        <v>31.45837502168558</v>
      </c>
      <c r="H29" s="35">
        <f>D27*D29+E27*E29+F27*F29+G27*G29</f>
        <v>32.47</v>
      </c>
      <c r="I29" s="35">
        <f>I29+2.5*(H27-H29)</f>
        <v>100.00297080491751</v>
      </c>
    </row>
    <row r="30" spans="7:9" ht="15">
      <c r="G30" s="24" t="s">
        <v>648</v>
      </c>
      <c r="H30" s="24"/>
      <c r="I30" s="24"/>
    </row>
    <row r="31" ht="15">
      <c r="D31" s="1" t="s">
        <v>649</v>
      </c>
    </row>
    <row r="32" spans="3:4" ht="15">
      <c r="C32" s="1" t="s">
        <v>650</v>
      </c>
      <c r="D32" s="1" t="s">
        <v>651</v>
      </c>
    </row>
    <row r="33" ht="15">
      <c r="D33" s="1" t="s">
        <v>652</v>
      </c>
    </row>
    <row r="34" spans="3:4" ht="15">
      <c r="C34" s="2" t="s">
        <v>653</v>
      </c>
      <c r="D34" s="1" t="s">
        <v>654</v>
      </c>
    </row>
    <row r="35" spans="4:10" ht="15">
      <c r="D35" s="1" t="s">
        <v>89</v>
      </c>
      <c r="H35" s="24"/>
      <c r="I35" s="24"/>
      <c r="J35" s="24"/>
    </row>
    <row r="36" spans="3:4" ht="15">
      <c r="C36" s="2" t="s">
        <v>591</v>
      </c>
      <c r="D36" s="1" t="s">
        <v>90</v>
      </c>
    </row>
    <row r="37" ht="15">
      <c r="D37" s="1" t="s">
        <v>91</v>
      </c>
    </row>
    <row r="38" spans="2:4" ht="15">
      <c r="B38" s="1" t="s">
        <v>510</v>
      </c>
      <c r="C38" s="2" t="s">
        <v>592</v>
      </c>
      <c r="D38" s="1" t="s">
        <v>92</v>
      </c>
    </row>
    <row r="40" ht="15">
      <c r="E40" s="1" t="s">
        <v>655</v>
      </c>
    </row>
    <row r="41" ht="15">
      <c r="E41" s="1" t="s">
        <v>656</v>
      </c>
    </row>
    <row r="42" spans="4:5" ht="15">
      <c r="D42" s="1" t="s">
        <v>657</v>
      </c>
      <c r="E42" s="1" t="s">
        <v>658</v>
      </c>
    </row>
    <row r="43" spans="3:4" ht="15">
      <c r="C43" s="1" t="s">
        <v>659</v>
      </c>
      <c r="D43" s="1" t="s">
        <v>660</v>
      </c>
    </row>
    <row r="44" spans="3:10" ht="15">
      <c r="C44" s="1" t="s">
        <v>661</v>
      </c>
      <c r="D44" s="3" t="s">
        <v>662</v>
      </c>
      <c r="E44" s="3" t="s">
        <v>663</v>
      </c>
      <c r="F44" s="3" t="s">
        <v>664</v>
      </c>
      <c r="G44" s="3" t="s">
        <v>665</v>
      </c>
      <c r="H44" s="3" t="s">
        <v>666</v>
      </c>
      <c r="I44" s="3" t="s">
        <v>402</v>
      </c>
      <c r="J44" s="3" t="s">
        <v>667</v>
      </c>
    </row>
    <row r="45" spans="3:10" ht="15">
      <c r="C45" s="1" t="s">
        <v>668</v>
      </c>
      <c r="D45" s="4">
        <v>9.51</v>
      </c>
      <c r="E45" s="4">
        <v>1.01</v>
      </c>
      <c r="F45" s="4">
        <v>7.54</v>
      </c>
      <c r="G45" s="4">
        <v>2.13</v>
      </c>
      <c r="H45" s="4">
        <v>10.68</v>
      </c>
      <c r="I45" s="4">
        <v>8560</v>
      </c>
      <c r="J45" s="4">
        <v>3.08</v>
      </c>
    </row>
    <row r="46" spans="3:4" ht="15">
      <c r="C46" s="1" t="s">
        <v>669</v>
      </c>
      <c r="D46" s="1" t="s">
        <v>670</v>
      </c>
    </row>
    <row r="47" spans="3:8" ht="15">
      <c r="C47" s="1" t="s">
        <v>671</v>
      </c>
      <c r="D47" s="1" t="s">
        <v>672</v>
      </c>
      <c r="H47" s="1" t="s">
        <v>673</v>
      </c>
    </row>
    <row r="48" ht="15">
      <c r="D48" s="1" t="s">
        <v>674</v>
      </c>
    </row>
    <row r="49" spans="3:8" ht="15">
      <c r="C49" s="1" t="s">
        <v>675</v>
      </c>
      <c r="D49" s="1" t="s">
        <v>676</v>
      </c>
      <c r="E49" s="1" t="s">
        <v>677</v>
      </c>
      <c r="G49" s="2" t="s">
        <v>678</v>
      </c>
      <c r="H49" s="1" t="s">
        <v>679</v>
      </c>
    </row>
    <row r="50" ht="15">
      <c r="D50" s="1" t="s">
        <v>680</v>
      </c>
    </row>
    <row r="51" ht="15">
      <c r="D51" s="1" t="s">
        <v>681</v>
      </c>
    </row>
    <row r="52" ht="15">
      <c r="D52" s="1" t="s">
        <v>682</v>
      </c>
    </row>
    <row r="53" ht="15">
      <c r="D53" s="1" t="s">
        <v>683</v>
      </c>
    </row>
    <row r="54" ht="15">
      <c r="D54" s="1" t="s">
        <v>684</v>
      </c>
    </row>
    <row r="55" spans="2:3" ht="15">
      <c r="B55" s="1" t="s">
        <v>685</v>
      </c>
      <c r="C55" s="1" t="s">
        <v>686</v>
      </c>
    </row>
    <row r="56" spans="3:11" ht="15">
      <c r="C56" s="1" t="s">
        <v>687</v>
      </c>
      <c r="D56" s="1" t="s">
        <v>688</v>
      </c>
      <c r="K56" s="1" t="s">
        <v>689</v>
      </c>
    </row>
    <row r="57" ht="15">
      <c r="E57" s="1" t="s">
        <v>690</v>
      </c>
    </row>
    <row r="58" ht="15">
      <c r="D58" s="1" t="s">
        <v>691</v>
      </c>
    </row>
    <row r="59" ht="15">
      <c r="D59" s="1" t="s">
        <v>679</v>
      </c>
    </row>
    <row r="60" ht="15">
      <c r="D60" s="1" t="s">
        <v>692</v>
      </c>
    </row>
    <row r="61" spans="4:5" ht="15">
      <c r="D61" s="24" t="s">
        <v>693</v>
      </c>
      <c r="E61" s="24"/>
    </row>
    <row r="62" spans="4:10" ht="15.75">
      <c r="D62" s="3" t="s">
        <v>694</v>
      </c>
      <c r="E62" s="3" t="s">
        <v>695</v>
      </c>
      <c r="F62" s="3" t="s">
        <v>112</v>
      </c>
      <c r="G62" s="3" t="s">
        <v>696</v>
      </c>
      <c r="H62" s="7" t="s">
        <v>697</v>
      </c>
      <c r="I62" s="7" t="s">
        <v>698</v>
      </c>
      <c r="J62" s="7" t="s">
        <v>699</v>
      </c>
    </row>
    <row r="63" spans="4:10" ht="15.75">
      <c r="D63" s="4">
        <v>1.2</v>
      </c>
      <c r="E63" s="4">
        <v>0.02</v>
      </c>
      <c r="F63" s="4">
        <v>0.12</v>
      </c>
      <c r="G63" s="4">
        <v>13.979387755102042</v>
      </c>
      <c r="H63" s="35">
        <f>D63*9.51/(1-E63)</f>
        <v>11.644897959183673</v>
      </c>
      <c r="I63" s="35">
        <f>10.68+(D63-1)*9.51+H63*E63</f>
        <v>12.814897959183673</v>
      </c>
      <c r="J63" s="35">
        <f>I63+F63*G63</f>
        <v>14.49242448979592</v>
      </c>
    </row>
    <row r="64" spans="5:12" ht="15.75">
      <c r="E64" s="1" t="s">
        <v>700</v>
      </c>
      <c r="F64" s="1" t="s">
        <v>701</v>
      </c>
      <c r="G64" s="1" t="s">
        <v>702</v>
      </c>
      <c r="H64" s="1" t="s">
        <v>703</v>
      </c>
      <c r="J64" s="7" t="s">
        <v>402</v>
      </c>
      <c r="K64" s="7" t="s">
        <v>704</v>
      </c>
      <c r="L64" s="7" t="s">
        <v>705</v>
      </c>
    </row>
    <row r="65" spans="5:12" ht="15">
      <c r="E65" s="4">
        <v>0.07224922991576518</v>
      </c>
      <c r="F65" s="4">
        <v>0.7113421684988102</v>
      </c>
      <c r="G65" s="4">
        <v>0.17069329479262468</v>
      </c>
      <c r="H65" s="4">
        <v>0.0457153067927999</v>
      </c>
      <c r="J65" s="4">
        <v>8560</v>
      </c>
      <c r="K65" s="4">
        <v>102</v>
      </c>
      <c r="L65" s="4">
        <v>148</v>
      </c>
    </row>
    <row r="66" spans="5:12" ht="15.75">
      <c r="E66" s="1" t="s">
        <v>645</v>
      </c>
      <c r="F66" s="1" t="s">
        <v>644</v>
      </c>
      <c r="G66" s="1" t="s">
        <v>102</v>
      </c>
      <c r="H66" s="1" t="s">
        <v>646</v>
      </c>
      <c r="I66" s="7" t="s">
        <v>706</v>
      </c>
      <c r="K66" s="7" t="s">
        <v>707</v>
      </c>
      <c r="L66" s="7" t="s">
        <v>708</v>
      </c>
    </row>
    <row r="67" spans="5:12" ht="15.75">
      <c r="E67" s="35">
        <f>(1.01+E65*F63*G63)/J63</f>
        <v>0.07805457263527404</v>
      </c>
      <c r="F67" s="35">
        <f>((7.54+0.79*(D63-1)*9.51)+F65*F63*G63)/J63</f>
        <v>0.7062914398627403</v>
      </c>
      <c r="G67" s="35">
        <f>((2.13+H63*E63)+G65*F63*G63)/J63</f>
        <v>0.1828017452608597</v>
      </c>
      <c r="H67" s="35">
        <f>((0.21*(D63-1)*9.51)+H65*F63*G63)/J63</f>
        <v>0.032852242241125824</v>
      </c>
      <c r="I67" s="35">
        <f>1+H67*1.01/(E67*0.21*9.51)</f>
        <v>1.2128571428571429</v>
      </c>
      <c r="K67" s="35">
        <f>J65+K65*H63+L65*F63*G63</f>
        <v>9996.053518367346</v>
      </c>
      <c r="L67" s="35">
        <f>K67/J63</f>
        <v>689.7433569797478</v>
      </c>
    </row>
    <row r="68" spans="5:11" ht="15.75">
      <c r="E68" s="1" t="s">
        <v>709</v>
      </c>
      <c r="F68" s="1" t="s">
        <v>710</v>
      </c>
      <c r="I68" s="7" t="s">
        <v>711</v>
      </c>
      <c r="J68" s="7" t="s">
        <v>712</v>
      </c>
      <c r="K68" s="7" t="s">
        <v>713</v>
      </c>
    </row>
    <row r="69" spans="9:11" ht="15.75">
      <c r="I69" s="35">
        <f>1+H67*((I63*I63+G63*F63*G63)/J63)/(0.21*9.51)</f>
        <v>1.213022057324554</v>
      </c>
      <c r="J69" s="35">
        <f>I67</f>
        <v>1.2128571428571429</v>
      </c>
      <c r="K69" s="35">
        <f>1+(F67*1.01/E67-7.54)/(0.79*9.51)</f>
        <v>1.2128571428571426</v>
      </c>
    </row>
    <row r="70" spans="7:9" ht="15">
      <c r="G70" s="24" t="s">
        <v>648</v>
      </c>
      <c r="H70" s="24"/>
      <c r="I70" s="24"/>
    </row>
    <row r="72" spans="3:5" ht="15">
      <c r="C72" s="1" t="s">
        <v>520</v>
      </c>
      <c r="E72" s="1" t="s">
        <v>714</v>
      </c>
    </row>
    <row r="73" ht="15">
      <c r="D73" s="1" t="s">
        <v>715</v>
      </c>
    </row>
    <row r="74" spans="3:7" ht="15">
      <c r="C74" s="1" t="s">
        <v>32</v>
      </c>
      <c r="D74" s="1" t="s">
        <v>132</v>
      </c>
      <c r="E74" s="1" t="s">
        <v>716</v>
      </c>
      <c r="G74" s="1" t="s">
        <v>717</v>
      </c>
    </row>
    <row r="75" ht="15">
      <c r="D75" s="1" t="s">
        <v>718</v>
      </c>
    </row>
    <row r="76" spans="2:5" ht="15">
      <c r="B76" s="1" t="s">
        <v>719</v>
      </c>
      <c r="C76" s="1" t="s">
        <v>720</v>
      </c>
      <c r="D76" s="1" t="s">
        <v>520</v>
      </c>
      <c r="E76" s="1" t="s">
        <v>150</v>
      </c>
    </row>
    <row r="77" ht="15">
      <c r="D77" s="1" t="s">
        <v>721</v>
      </c>
    </row>
    <row r="78" spans="2:5" ht="15">
      <c r="B78" s="1" t="s">
        <v>722</v>
      </c>
      <c r="C78" s="1" t="s">
        <v>723</v>
      </c>
      <c r="D78" s="1" t="s">
        <v>520</v>
      </c>
      <c r="E78" s="1" t="s">
        <v>724</v>
      </c>
    </row>
    <row r="79" ht="15">
      <c r="D79" s="1" t="s">
        <v>725</v>
      </c>
    </row>
    <row r="80" spans="3:5" ht="15">
      <c r="C80" s="1" t="s">
        <v>726</v>
      </c>
      <c r="D80" s="1" t="s">
        <v>520</v>
      </c>
      <c r="E80" s="1" t="s">
        <v>727</v>
      </c>
    </row>
    <row r="81" spans="3:6" ht="15">
      <c r="C81" s="1" t="s">
        <v>728</v>
      </c>
      <c r="D81" s="1" t="s">
        <v>520</v>
      </c>
      <c r="E81" s="1" t="s">
        <v>729</v>
      </c>
      <c r="F81" s="1" t="s">
        <v>730</v>
      </c>
    </row>
    <row r="82" spans="3:6" ht="15">
      <c r="C82" s="1" t="s">
        <v>731</v>
      </c>
      <c r="D82" s="1" t="s">
        <v>520</v>
      </c>
      <c r="F82" s="1" t="s">
        <v>732</v>
      </c>
    </row>
    <row r="83" spans="3:6" ht="15">
      <c r="C83" s="1" t="s">
        <v>733</v>
      </c>
      <c r="D83" s="1" t="s">
        <v>520</v>
      </c>
      <c r="F83" s="1" t="s">
        <v>734</v>
      </c>
    </row>
    <row r="84" spans="2:4" ht="15">
      <c r="B84" s="1" t="s">
        <v>735</v>
      </c>
      <c r="C84" s="1" t="s">
        <v>736</v>
      </c>
      <c r="D84" s="1" t="s">
        <v>737</v>
      </c>
    </row>
    <row r="85" ht="15">
      <c r="D85" s="1" t="s">
        <v>738</v>
      </c>
    </row>
    <row r="86" spans="2:12" ht="15">
      <c r="B86" s="1" t="s">
        <v>739</v>
      </c>
      <c r="C86" s="1" t="s">
        <v>740</v>
      </c>
      <c r="D86" s="1" t="s">
        <v>741</v>
      </c>
      <c r="J86" s="1" t="s">
        <v>742</v>
      </c>
      <c r="K86" s="24"/>
      <c r="L86" s="1" t="s">
        <v>743</v>
      </c>
    </row>
    <row r="87" ht="15">
      <c r="E87" s="1" t="s">
        <v>744</v>
      </c>
    </row>
    <row r="88" spans="3:4" ht="15">
      <c r="C88" s="1" t="s">
        <v>745</v>
      </c>
      <c r="D88" s="1" t="s">
        <v>746</v>
      </c>
    </row>
    <row r="89" spans="2:7" ht="15">
      <c r="B89" s="2" t="s">
        <v>747</v>
      </c>
      <c r="C89" s="1" t="s">
        <v>748</v>
      </c>
      <c r="D89" s="1" t="s">
        <v>749</v>
      </c>
      <c r="G89" s="1" t="s">
        <v>750</v>
      </c>
    </row>
    <row r="90" ht="15">
      <c r="E90" s="1" t="s">
        <v>751</v>
      </c>
    </row>
    <row r="91" spans="3:4" ht="15">
      <c r="C91" s="1" t="s">
        <v>745</v>
      </c>
      <c r="D91" s="1" t="s">
        <v>746</v>
      </c>
    </row>
    <row r="92" spans="2:9" ht="15">
      <c r="B92" s="1" t="s">
        <v>752</v>
      </c>
      <c r="C92" s="1" t="s">
        <v>753</v>
      </c>
      <c r="D92" s="1" t="s">
        <v>126</v>
      </c>
      <c r="I92" s="1" t="s">
        <v>754</v>
      </c>
    </row>
    <row r="93" spans="2:4" ht="15">
      <c r="B93" s="1" t="s">
        <v>755</v>
      </c>
      <c r="C93" s="1" t="s">
        <v>756</v>
      </c>
      <c r="D93" s="1" t="s">
        <v>757</v>
      </c>
    </row>
    <row r="94" spans="2:9" ht="15">
      <c r="B94" s="1" t="s">
        <v>758</v>
      </c>
      <c r="C94" s="1" t="s">
        <v>759</v>
      </c>
      <c r="D94" s="1" t="s">
        <v>520</v>
      </c>
      <c r="E94" s="1" t="s">
        <v>760</v>
      </c>
      <c r="H94" s="1" t="s">
        <v>761</v>
      </c>
      <c r="I94" s="1" t="s">
        <v>762</v>
      </c>
    </row>
    <row r="95" spans="4:8" ht="15">
      <c r="D95" s="1" t="s">
        <v>763</v>
      </c>
      <c r="E95" s="1" t="s">
        <v>764</v>
      </c>
      <c r="H95" s="1" t="s">
        <v>765</v>
      </c>
    </row>
    <row r="96" spans="3:5" ht="15">
      <c r="C96" s="1" t="s">
        <v>766</v>
      </c>
      <c r="D96" s="1" t="s">
        <v>767</v>
      </c>
      <c r="E96" s="1" t="s">
        <v>317</v>
      </c>
    </row>
    <row r="97" spans="3:4" ht="15">
      <c r="C97" s="1" t="s">
        <v>768</v>
      </c>
      <c r="D97" s="1" t="s">
        <v>769</v>
      </c>
    </row>
    <row r="98" ht="15">
      <c r="E98" s="1" t="s">
        <v>770</v>
      </c>
    </row>
    <row r="99" ht="15">
      <c r="D99" s="1" t="s">
        <v>771</v>
      </c>
    </row>
    <row r="100" ht="15">
      <c r="E100" s="1" t="s">
        <v>772</v>
      </c>
    </row>
    <row r="101" spans="3:8" ht="15">
      <c r="C101" s="1" t="s">
        <v>773</v>
      </c>
      <c r="D101" s="1" t="s">
        <v>774</v>
      </c>
      <c r="G101" s="1" t="s">
        <v>775</v>
      </c>
      <c r="H101" s="1" t="s">
        <v>776</v>
      </c>
    </row>
    <row r="102" spans="3:8" ht="15">
      <c r="C102" s="1" t="s">
        <v>777</v>
      </c>
      <c r="D102" s="1" t="s">
        <v>778</v>
      </c>
      <c r="G102" s="1" t="s">
        <v>779</v>
      </c>
      <c r="H102" s="1" t="s">
        <v>780</v>
      </c>
    </row>
    <row r="103" ht="15">
      <c r="E103" s="1" t="s">
        <v>781</v>
      </c>
    </row>
    <row r="104" spans="2:3" ht="15">
      <c r="B104" s="1" t="s">
        <v>782</v>
      </c>
      <c r="C104" s="1" t="s">
        <v>783</v>
      </c>
    </row>
    <row r="105" spans="2:3" ht="15">
      <c r="B105" s="1" t="s">
        <v>784</v>
      </c>
      <c r="C105" s="1" t="s">
        <v>785</v>
      </c>
    </row>
    <row r="106" spans="3:4" ht="15">
      <c r="C106" s="2" t="s">
        <v>786</v>
      </c>
      <c r="D106" s="1" t="s">
        <v>787</v>
      </c>
    </row>
    <row r="107" spans="3:5" ht="15">
      <c r="C107" s="2" t="s">
        <v>788</v>
      </c>
      <c r="D107" s="1" t="s">
        <v>789</v>
      </c>
      <c r="E107" s="1" t="s">
        <v>790</v>
      </c>
    </row>
    <row r="108" spans="3:4" ht="15">
      <c r="C108" s="2" t="s">
        <v>791</v>
      </c>
      <c r="D108" s="1" t="s">
        <v>792</v>
      </c>
    </row>
    <row r="109" ht="15">
      <c r="E109" s="1" t="s">
        <v>793</v>
      </c>
    </row>
    <row r="110" spans="3:4" ht="15">
      <c r="C110" s="1" t="s">
        <v>794</v>
      </c>
      <c r="D110" s="1" t="s">
        <v>795</v>
      </c>
    </row>
    <row r="111" spans="3:4" ht="15">
      <c r="C111" s="1" t="s">
        <v>796</v>
      </c>
      <c r="D111" s="1" t="s">
        <v>797</v>
      </c>
    </row>
    <row r="112" spans="3:4" ht="15">
      <c r="C112" s="1" t="s">
        <v>798</v>
      </c>
      <c r="D112" s="1" t="s">
        <v>799</v>
      </c>
    </row>
    <row r="113" spans="3:4" ht="15">
      <c r="C113" s="1" t="s">
        <v>798</v>
      </c>
      <c r="D113" s="1" t="s">
        <v>800</v>
      </c>
    </row>
    <row r="114" spans="3:4" ht="15">
      <c r="C114" s="1" t="s">
        <v>801</v>
      </c>
      <c r="D114" s="1" t="s">
        <v>802</v>
      </c>
    </row>
    <row r="115" spans="2:4" ht="15">
      <c r="B115" s="2" t="s">
        <v>788</v>
      </c>
      <c r="C115" s="1" t="s">
        <v>803</v>
      </c>
      <c r="D115" s="1" t="s">
        <v>804</v>
      </c>
    </row>
    <row r="116" ht="15">
      <c r="E116" s="1" t="s">
        <v>805</v>
      </c>
    </row>
    <row r="117" spans="3:4" ht="15">
      <c r="C117" s="2" t="s">
        <v>806</v>
      </c>
      <c r="D117" s="1" t="s">
        <v>807</v>
      </c>
    </row>
    <row r="119" spans="4:8" ht="15">
      <c r="D119" s="24" t="s">
        <v>808</v>
      </c>
      <c r="E119" s="24"/>
      <c r="F119" s="24"/>
      <c r="G119" s="24"/>
      <c r="H119" s="24"/>
    </row>
    <row r="120" spans="4:12" ht="15">
      <c r="D120" s="2" t="s">
        <v>809</v>
      </c>
      <c r="E120" s="1" t="s">
        <v>810</v>
      </c>
      <c r="I120" s="24"/>
      <c r="J120" s="24"/>
      <c r="K120" s="24"/>
      <c r="L120" s="24"/>
    </row>
    <row r="121" spans="4:10" ht="15.75">
      <c r="D121" s="3" t="s">
        <v>694</v>
      </c>
      <c r="E121" s="3" t="s">
        <v>695</v>
      </c>
      <c r="F121" s="3" t="s">
        <v>112</v>
      </c>
      <c r="G121" s="3" t="s">
        <v>696</v>
      </c>
      <c r="H121" s="7" t="s">
        <v>697</v>
      </c>
      <c r="I121" s="7" t="s">
        <v>698</v>
      </c>
      <c r="J121" s="7" t="s">
        <v>699</v>
      </c>
    </row>
    <row r="122" spans="4:10" ht="15.75">
      <c r="D122" s="4">
        <v>1.2</v>
      </c>
      <c r="E122" s="4">
        <v>0.02</v>
      </c>
      <c r="F122" s="4">
        <v>0.12</v>
      </c>
      <c r="G122" s="4">
        <v>13.979387755102042</v>
      </c>
      <c r="H122" s="35">
        <f>D122*9.51/(1-E122)</f>
        <v>11.644897959183673</v>
      </c>
      <c r="I122" s="35">
        <f>10.68+(D122-1)*9.51+H122*E122</f>
        <v>12.814897959183673</v>
      </c>
      <c r="J122" s="35">
        <f>I122+F122*G122</f>
        <v>14.49242448979592</v>
      </c>
    </row>
    <row r="123" spans="5:12" ht="15.75">
      <c r="E123" s="1" t="s">
        <v>700</v>
      </c>
      <c r="F123" s="1" t="s">
        <v>701</v>
      </c>
      <c r="G123" s="1" t="s">
        <v>702</v>
      </c>
      <c r="H123" s="1" t="s">
        <v>703</v>
      </c>
      <c r="J123" s="7" t="s">
        <v>402</v>
      </c>
      <c r="K123" s="7" t="s">
        <v>704</v>
      </c>
      <c r="L123" s="7" t="s">
        <v>705</v>
      </c>
    </row>
    <row r="124" spans="5:12" ht="15">
      <c r="E124" s="4">
        <v>0.07224922991576518</v>
      </c>
      <c r="F124" s="4">
        <v>0.7113421684988102</v>
      </c>
      <c r="G124" s="4">
        <v>0.17069329479262468</v>
      </c>
      <c r="H124" s="4">
        <v>0.0457153067927999</v>
      </c>
      <c r="J124" s="4">
        <v>8560</v>
      </c>
      <c r="K124" s="4">
        <v>102</v>
      </c>
      <c r="L124" s="4">
        <v>148</v>
      </c>
    </row>
    <row r="125" spans="5:12" ht="15.75">
      <c r="E125" s="1" t="s">
        <v>645</v>
      </c>
      <c r="F125" s="1" t="s">
        <v>644</v>
      </c>
      <c r="G125" s="1" t="s">
        <v>102</v>
      </c>
      <c r="H125" s="1" t="s">
        <v>646</v>
      </c>
      <c r="I125" s="7" t="s">
        <v>706</v>
      </c>
      <c r="K125" s="7" t="s">
        <v>707</v>
      </c>
      <c r="L125" s="7" t="s">
        <v>708</v>
      </c>
    </row>
    <row r="126" spans="5:12" ht="15.75">
      <c r="E126" s="35">
        <f>(1.01+E124*F122*G122)/J122</f>
        <v>0.07805457263527404</v>
      </c>
      <c r="F126" s="35">
        <f>((7.54+0.79*(D122-1)*9.51)+F124*F122*G122)/J122</f>
        <v>0.7062914398627403</v>
      </c>
      <c r="G126" s="35">
        <f>((2.13+H122*E122)+G124*F122*G122)/J122</f>
        <v>0.1828017452608597</v>
      </c>
      <c r="H126" s="35">
        <f>((0.21*(D122-1)*9.51)+H124*F122*G122)/J122</f>
        <v>0.032852242241125824</v>
      </c>
      <c r="I126" s="35">
        <f>1+H126*1.01/(E126*0.21*9.51)</f>
        <v>1.2128571428571429</v>
      </c>
      <c r="K126" s="35">
        <f>J124+K124*H122+L124*F122*G122</f>
        <v>9996.053518367346</v>
      </c>
      <c r="L126" s="35">
        <f>K126/J122</f>
        <v>689.7433569797478</v>
      </c>
    </row>
    <row r="127" spans="5:11" ht="15.75">
      <c r="E127" s="1" t="s">
        <v>709</v>
      </c>
      <c r="F127" s="24" t="s">
        <v>710</v>
      </c>
      <c r="G127" s="24"/>
      <c r="H127" s="24"/>
      <c r="I127" s="7" t="s">
        <v>711</v>
      </c>
      <c r="J127" s="7" t="s">
        <v>712</v>
      </c>
      <c r="K127" s="7" t="s">
        <v>713</v>
      </c>
    </row>
    <row r="128" spans="9:11" ht="15.75">
      <c r="I128" s="35">
        <f>1+H126*((I122*I122+G122*F122*G122)/J122)/(0.21*9.51)</f>
        <v>1.213022057324554</v>
      </c>
      <c r="J128" s="35">
        <f>I126</f>
        <v>1.2128571428571429</v>
      </c>
      <c r="K128" s="35">
        <f>1+(F126*1.01/E126-7.54)/(0.79*9.51)</f>
        <v>1.2128571428571426</v>
      </c>
    </row>
    <row r="129" spans="5:12" ht="15">
      <c r="E129" s="1" t="s">
        <v>811</v>
      </c>
      <c r="G129" s="24"/>
      <c r="H129" s="24"/>
      <c r="I129" s="24"/>
      <c r="J129" s="24"/>
      <c r="K129" s="24"/>
      <c r="L129" s="24"/>
    </row>
    <row r="130" spans="2:8" ht="15">
      <c r="B130" s="2" t="s">
        <v>812</v>
      </c>
      <c r="C130" s="1" t="s">
        <v>643</v>
      </c>
      <c r="D130" s="1" t="s">
        <v>644</v>
      </c>
      <c r="E130" s="1" t="s">
        <v>102</v>
      </c>
      <c r="F130" s="1" t="s">
        <v>645</v>
      </c>
      <c r="G130" s="1" t="s">
        <v>646</v>
      </c>
      <c r="H130" s="3" t="s">
        <v>813</v>
      </c>
    </row>
    <row r="131" spans="4:8" ht="15.75">
      <c r="D131" s="35">
        <f>F126</f>
        <v>0.7062914398627403</v>
      </c>
      <c r="E131" s="35">
        <f>G126</f>
        <v>0.1828017452608597</v>
      </c>
      <c r="F131" s="35">
        <f>E126</f>
        <v>0.07805457263527404</v>
      </c>
      <c r="G131" s="35">
        <f>H126</f>
        <v>0.032852242241125824</v>
      </c>
      <c r="H131" s="35">
        <f>L126</f>
        <v>689.7433569797478</v>
      </c>
    </row>
    <row r="132" spans="4:9" ht="15">
      <c r="D132" s="1" t="s">
        <v>88</v>
      </c>
      <c r="E132" s="1" t="s">
        <v>306</v>
      </c>
      <c r="F132" s="1" t="s">
        <v>371</v>
      </c>
      <c r="G132" s="1" t="s">
        <v>387</v>
      </c>
      <c r="H132" s="3" t="s">
        <v>708</v>
      </c>
      <c r="I132" s="3" t="s">
        <v>544</v>
      </c>
    </row>
    <row r="133" spans="4:9" ht="15.75">
      <c r="D133" s="35">
        <f>(0.309701-0.00000555238*(I133+100)^1.1+0.0000000160444*(I133+100)^2.2-0.00000000000568436*(I133+100)^3.3+0.000000000000000856875*(I133+100)^4.4-0.0000000000000000000482474*(I133+100)^5.5)*I133</f>
        <v>623.0479487416427</v>
      </c>
      <c r="E133" s="35">
        <f>(0.356179-0.0000326182*(I133+100)^0.8+0.00000129519*(I133+100)^1.6-0.00000000148934*(I133+100)^2.4-0.000000000000594678*(I133+100)^3.2+0.00000000000000129158*(I133+100)^4)*I133</f>
        <v>814.2610592488726</v>
      </c>
      <c r="F133" s="35">
        <f>(0.34584+0.0008688*(I133+100)^0.82-0.00000109945*(I133+100)^1.64+0.00000000054341*(I133+100)^2.46)*I133</f>
        <v>1014.4095710511818</v>
      </c>
      <c r="G133" s="35">
        <f>(0.317715-0.000574557*(I133+100)^0.7+0.0000164618*(I133+100)^1.4-0.000000119525*(I133+100)^2.1+0.000000000385185*(I133+100)^2.8-0.000000000000467365*(I133+100)^3.5)*I133</f>
        <v>659.3850041135573</v>
      </c>
      <c r="H133" s="35">
        <f>D131*D133+E131*E133+F131*F133+G131*G133</f>
        <v>689.7433569797479</v>
      </c>
      <c r="I133" s="35">
        <f>I133+2.5*(H131-H133)</f>
        <v>1778.6166113911086</v>
      </c>
    </row>
    <row r="134" spans="5:6" ht="15">
      <c r="E134" s="24" t="s">
        <v>814</v>
      </c>
      <c r="F134" s="24"/>
    </row>
    <row r="135" spans="4:12" ht="15">
      <c r="D135" s="3" t="s">
        <v>815</v>
      </c>
      <c r="E135" s="3" t="s">
        <v>816</v>
      </c>
      <c r="F135" s="3" t="s">
        <v>817</v>
      </c>
      <c r="G135" s="3" t="s">
        <v>102</v>
      </c>
      <c r="H135" s="3" t="s">
        <v>647</v>
      </c>
      <c r="I135" s="3" t="s">
        <v>667</v>
      </c>
      <c r="J135" s="3" t="s">
        <v>694</v>
      </c>
      <c r="K135" s="3" t="s">
        <v>707</v>
      </c>
      <c r="L135" s="3" t="s">
        <v>818</v>
      </c>
    </row>
    <row r="136" spans="4:12" ht="15.75">
      <c r="D136" s="4">
        <v>6.3</v>
      </c>
      <c r="E136" s="4">
        <v>0.1</v>
      </c>
      <c r="F136" s="4">
        <v>1</v>
      </c>
      <c r="G136" s="35">
        <f>E131</f>
        <v>0.1828017452608597</v>
      </c>
      <c r="H136" s="35">
        <f>E131+F131</f>
        <v>0.2608563178961337</v>
      </c>
      <c r="I136" s="4">
        <v>3.08</v>
      </c>
      <c r="J136" s="35">
        <f>D122</f>
        <v>1.2</v>
      </c>
      <c r="K136" s="35">
        <f>K126</f>
        <v>9996.053518367346</v>
      </c>
      <c r="L136" s="35">
        <f>I133+273</f>
        <v>2051.6166113911086</v>
      </c>
    </row>
    <row r="137" spans="4:12" ht="15">
      <c r="D137" s="3" t="s">
        <v>819</v>
      </c>
      <c r="E137" s="3" t="s">
        <v>820</v>
      </c>
      <c r="F137" s="3" t="s">
        <v>821</v>
      </c>
      <c r="G137" s="3" t="s">
        <v>822</v>
      </c>
      <c r="H137" s="3" t="s">
        <v>823</v>
      </c>
      <c r="I137" s="3" t="s">
        <v>824</v>
      </c>
      <c r="J137" s="3" t="s">
        <v>825</v>
      </c>
      <c r="L137" s="24" t="s">
        <v>826</v>
      </c>
    </row>
    <row r="138" spans="4:12" ht="15.75">
      <c r="D138" s="4">
        <v>0.55</v>
      </c>
      <c r="E138" s="35">
        <f>((0.78+1.6*G136)/(F136*H136*D136)^0.5-0.1)*(1-0.37*L138/1000)</f>
        <v>0.3519188768953668</v>
      </c>
      <c r="F138" s="35">
        <f>0.03*(2-J136)*(1.6*L138/1000-0.5)*I136</f>
        <v>0.12997636585767225</v>
      </c>
      <c r="G138" s="35">
        <f>1-EXP(-E138*H136*F136*D136)</f>
        <v>0.43917235749582584</v>
      </c>
      <c r="H138" s="35">
        <f>1-EXP(-(E138*H136+F138)*F136*D136)</f>
        <v>0.752709806172136</v>
      </c>
      <c r="I138" s="35">
        <f>E136*H138+(1-E136)*G138</f>
        <v>0.4705261023634569</v>
      </c>
      <c r="J138" s="35">
        <f>I138/(I138+(1-I138)*D138)</f>
        <v>0.6177017254254904</v>
      </c>
      <c r="L138" s="38">
        <f>L148</f>
        <v>1411.4614266916278</v>
      </c>
    </row>
    <row r="139" spans="4:10" ht="15">
      <c r="D139" s="2" t="s">
        <v>827</v>
      </c>
      <c r="E139" s="1" t="s">
        <v>828</v>
      </c>
      <c r="H139" s="24"/>
      <c r="I139" s="24"/>
      <c r="J139" s="24"/>
    </row>
    <row r="140" spans="4:8" ht="15">
      <c r="D140" s="3" t="s">
        <v>829</v>
      </c>
      <c r="E140" s="3" t="s">
        <v>830</v>
      </c>
      <c r="F140" s="3" t="s">
        <v>831</v>
      </c>
      <c r="G140" s="3" t="s">
        <v>832</v>
      </c>
      <c r="H140" s="3" t="s">
        <v>544</v>
      </c>
    </row>
    <row r="141" spans="4:8" ht="15.75">
      <c r="D141" s="35">
        <f>F131*J122</f>
        <v>1.1312</v>
      </c>
      <c r="E141" s="35">
        <f>D131*J122</f>
        <v>10.23587536</v>
      </c>
      <c r="F141" s="35">
        <f>E131*J122</f>
        <v>2.6492404897959183</v>
      </c>
      <c r="G141" s="35">
        <f>G131*J122</f>
        <v>0.47610863999999986</v>
      </c>
      <c r="H141" s="35">
        <f>L138-273</f>
        <v>1138.4614266916278</v>
      </c>
    </row>
    <row r="142" spans="4:8" ht="15">
      <c r="D142" s="1" t="s">
        <v>371</v>
      </c>
      <c r="E142" s="1" t="s">
        <v>88</v>
      </c>
      <c r="F142" s="1" t="s">
        <v>306</v>
      </c>
      <c r="G142" s="1" t="s">
        <v>387</v>
      </c>
      <c r="H142" s="3" t="s">
        <v>833</v>
      </c>
    </row>
    <row r="143" spans="4:8" ht="15.75">
      <c r="D143" s="35">
        <f>(0.34584+0.0008688*(H141+100)^0.82-0.00000109945*(H141+100)^1.64+0.00000000054341*(H141+100)^2.46)*H141</f>
        <v>610.9304061384416</v>
      </c>
      <c r="E143" s="35">
        <f>(0.309701-0.00000555238*(H141+100)^1.1+0.0000000160444*(H141+100)^2.2-0.00000000000568436*(H141+100)^3.3+0.000000000000000856875*(H141+100)^4.4-0.0000000000000000000482474*(H141+100)^5.5)*H141</f>
        <v>382.90703095957355</v>
      </c>
      <c r="F143" s="35">
        <f>(0.356179-0.0000326182*(H141+100)^0.8+0.00000129519*(H141+100)^1.6-0.00000000148934*(H141+100)^2.4-0.000000000000594678*(H141+100)^3.2+0.00000000000000129158*(H141+100)^4)*H141</f>
        <v>478.64274610295826</v>
      </c>
      <c r="G143" s="35">
        <f>(0.317715-0.000574557*(H141+100)^0.7+0.0000164618*(H141+100)^1.4-0.000000119525*(H141+100)^2.1+0.000000000385185*(H141+100)^2.8-0.000000000000467365*(H141+100)^3.5)*H141</f>
        <v>406.24444669276755</v>
      </c>
      <c r="H143" s="35">
        <f>SUMPRODUCT(D141:G141,D143:G143)</f>
        <v>6071.9293529391725</v>
      </c>
    </row>
    <row r="144" spans="3:8" ht="15">
      <c r="C144" s="24" t="s">
        <v>834</v>
      </c>
      <c r="D144" s="24"/>
      <c r="E144" s="24"/>
      <c r="F144" s="24"/>
      <c r="G144" s="24"/>
      <c r="H144" s="24"/>
    </row>
    <row r="145" spans="4:12" ht="15">
      <c r="D145" s="3" t="s">
        <v>835</v>
      </c>
      <c r="E145" s="3" t="s">
        <v>836</v>
      </c>
      <c r="F145" s="3" t="s">
        <v>837</v>
      </c>
      <c r="G145" s="16" t="s">
        <v>838</v>
      </c>
      <c r="H145" s="3" t="s">
        <v>819</v>
      </c>
      <c r="I145" s="3" t="s">
        <v>707</v>
      </c>
      <c r="J145" s="3" t="s">
        <v>833</v>
      </c>
      <c r="K145" s="3" t="s">
        <v>818</v>
      </c>
      <c r="L145" s="3" t="s">
        <v>826</v>
      </c>
    </row>
    <row r="146" spans="4:12" ht="15.75">
      <c r="D146" s="4">
        <v>16000</v>
      </c>
      <c r="E146" s="4">
        <v>0.445</v>
      </c>
      <c r="F146" s="4">
        <v>700</v>
      </c>
      <c r="G146" s="6">
        <v>0.6</v>
      </c>
      <c r="H146" s="35">
        <f>D138</f>
        <v>0.55</v>
      </c>
      <c r="I146" s="35">
        <f>K136</f>
        <v>9996.053518367346</v>
      </c>
      <c r="J146" s="35">
        <f>H143</f>
        <v>6071.9293529391725</v>
      </c>
      <c r="K146" s="35">
        <f>L136</f>
        <v>2051.6166113911086</v>
      </c>
      <c r="L146" s="35">
        <f>L138</f>
        <v>1411.4614266916278</v>
      </c>
    </row>
    <row r="147" spans="3:12" ht="15">
      <c r="C147" s="24" t="s">
        <v>839</v>
      </c>
      <c r="D147" s="3" t="s">
        <v>840</v>
      </c>
      <c r="E147" s="3" t="s">
        <v>841</v>
      </c>
      <c r="F147" s="3" t="s">
        <v>842</v>
      </c>
      <c r="K147" s="3" t="s">
        <v>825</v>
      </c>
      <c r="L147" s="24" t="s">
        <v>843</v>
      </c>
    </row>
    <row r="148" spans="4:12" ht="15.75">
      <c r="D148" s="35">
        <f>1-G146/100</f>
        <v>0.994</v>
      </c>
      <c r="E148" s="35">
        <f>(I146-J146)/(K146-L146)</f>
        <v>6.1299576403030205</v>
      </c>
      <c r="F148" s="35">
        <f>D148*D146*E148/(0.000000049*H146*F146*K146^3)</f>
        <v>0.5984369634844393</v>
      </c>
      <c r="K148" s="35">
        <f>J138</f>
        <v>0.6177017254254904</v>
      </c>
      <c r="L148" s="38">
        <f>K146*F148^0.6/(E146*K148^0.6+F148^0.6)</f>
        <v>1411.4614266916278</v>
      </c>
    </row>
    <row r="149" spans="5:8" ht="15">
      <c r="E149" s="24" t="s">
        <v>772</v>
      </c>
      <c r="F149" s="24"/>
      <c r="G149" s="24"/>
      <c r="H149" s="24"/>
    </row>
    <row r="150" spans="4:9" ht="15">
      <c r="D150" s="3" t="s">
        <v>844</v>
      </c>
      <c r="E150" s="3" t="s">
        <v>845</v>
      </c>
      <c r="F150" s="3" t="s">
        <v>846</v>
      </c>
      <c r="G150" s="3" t="s">
        <v>847</v>
      </c>
      <c r="H150" s="3" t="s">
        <v>848</v>
      </c>
      <c r="I150" s="3" t="s">
        <v>849</v>
      </c>
    </row>
    <row r="151" spans="4:12" ht="15.75">
      <c r="D151" s="4">
        <v>0.94</v>
      </c>
      <c r="E151" s="4">
        <v>0.02</v>
      </c>
      <c r="F151" s="35">
        <f>D146*(I146*D148-J146)</f>
        <v>61826365.50908751</v>
      </c>
      <c r="G151" s="35">
        <f>D151*F151</f>
        <v>58116783.578542255</v>
      </c>
      <c r="H151" s="35">
        <f>F151-G151</f>
        <v>3709581.9305452555</v>
      </c>
      <c r="I151" s="35">
        <f>E151*F151</f>
        <v>1236527.3101817502</v>
      </c>
      <c r="L151" s="3" t="s">
        <v>850</v>
      </c>
    </row>
    <row r="152" spans="5:12" ht="15.75">
      <c r="E152" s="24" t="s">
        <v>851</v>
      </c>
      <c r="F152" s="24"/>
      <c r="G152" s="24"/>
      <c r="H152" s="24"/>
      <c r="L152" s="35">
        <f>K154-30</f>
        <v>304.23305284335623</v>
      </c>
    </row>
    <row r="153" spans="4:12" ht="15">
      <c r="D153" s="3" t="s">
        <v>852</v>
      </c>
      <c r="E153" s="3" t="s">
        <v>847</v>
      </c>
      <c r="F153" s="3" t="s">
        <v>853</v>
      </c>
      <c r="G153" s="3" t="s">
        <v>109</v>
      </c>
      <c r="H153" s="3" t="s">
        <v>854</v>
      </c>
      <c r="I153" s="3" t="s">
        <v>855</v>
      </c>
      <c r="J153" s="3" t="s">
        <v>856</v>
      </c>
      <c r="K153" s="3" t="s">
        <v>857</v>
      </c>
      <c r="L153" s="3" t="s">
        <v>858</v>
      </c>
    </row>
    <row r="154" spans="4:12" ht="15.75">
      <c r="D154" s="4">
        <v>300</v>
      </c>
      <c r="E154" s="35">
        <f>G151</f>
        <v>58116783.578542255</v>
      </c>
      <c r="F154" s="4">
        <v>2.5</v>
      </c>
      <c r="G154" s="4">
        <v>100</v>
      </c>
      <c r="H154" s="4">
        <v>25000</v>
      </c>
      <c r="I154" s="4">
        <v>15000</v>
      </c>
      <c r="J154" s="35">
        <f>675.292-0.019276*G154^1.5-0.0000042803*G154^3</f>
        <v>651.7357</v>
      </c>
      <c r="K154" s="35">
        <f>161.307+6.16086*G154^0.8-0.0626355*G154^1.6+0.000426786*G154^2.4</f>
        <v>334.23305284335623</v>
      </c>
      <c r="L154" s="35">
        <f>(E154+H154*L152-(H154-I154)*J154)/(J154+F154/100*K154-(1+F154/100)*D154)</f>
        <v>167914.5653821286</v>
      </c>
    </row>
    <row r="155" spans="4:11" ht="15">
      <c r="D155" s="1" t="s">
        <v>789</v>
      </c>
      <c r="E155" s="1" t="s">
        <v>859</v>
      </c>
      <c r="G155" s="24"/>
      <c r="H155" s="24"/>
      <c r="I155" s="24"/>
      <c r="J155" s="24"/>
      <c r="K155" s="24"/>
    </row>
    <row r="156" spans="4:12" ht="15.75">
      <c r="D156" s="3" t="s">
        <v>835</v>
      </c>
      <c r="E156" s="3" t="s">
        <v>699</v>
      </c>
      <c r="F156" s="3" t="s">
        <v>855</v>
      </c>
      <c r="G156" s="3" t="s">
        <v>860</v>
      </c>
      <c r="H156" s="7" t="s">
        <v>861</v>
      </c>
      <c r="I156" s="7" t="s">
        <v>862</v>
      </c>
      <c r="J156" s="7" t="s">
        <v>863</v>
      </c>
      <c r="K156" s="1" t="s">
        <v>864</v>
      </c>
      <c r="L156" s="3" t="s">
        <v>865</v>
      </c>
    </row>
    <row r="157" spans="4:12" ht="15.75">
      <c r="D157" s="35">
        <f>D146</f>
        <v>16000</v>
      </c>
      <c r="E157" s="35">
        <f>J122</f>
        <v>14.49242448979592</v>
      </c>
      <c r="F157" s="35">
        <f>I154</f>
        <v>15000</v>
      </c>
      <c r="G157" s="35">
        <f>L154-F157</f>
        <v>152914.5653821286</v>
      </c>
      <c r="H157" s="35">
        <f>((H151+I151)+G157*J154)/G157</f>
        <v>684.0812730222091</v>
      </c>
      <c r="I157" s="35">
        <f>3074.3-3.1077*G154-2.3864*10^7*H157^-1.3+22437.3*G154*H157^-1.3+0.0041697*G154^2+4.8476*10^10*H157^-2.6-177649*G154^2*H157^-2.6</f>
        <v>332.6377171438745</v>
      </c>
      <c r="J157" s="35">
        <f>(J146-I151/D157)/E157</f>
        <v>413.6399951763509</v>
      </c>
      <c r="L157" s="35">
        <f>193.897+1.6984*G154-0.0066353*G154^2+0.0000121825*G154^3</f>
        <v>309.56649999999996</v>
      </c>
    </row>
    <row r="158" ht="15">
      <c r="C158" s="2" t="s">
        <v>866</v>
      </c>
    </row>
    <row r="159" ht="15">
      <c r="D159" s="2" t="s">
        <v>867</v>
      </c>
    </row>
    <row r="160" ht="15">
      <c r="D160" s="2" t="s">
        <v>868</v>
      </c>
    </row>
    <row r="161" spans="7:10" ht="15">
      <c r="G161" s="24" t="s">
        <v>869</v>
      </c>
      <c r="H161" s="24"/>
      <c r="I161" s="24"/>
      <c r="J161" s="24"/>
    </row>
    <row r="163" spans="4:5" ht="15">
      <c r="D163" s="1" t="s">
        <v>870</v>
      </c>
      <c r="E163" s="1" t="s">
        <v>328</v>
      </c>
    </row>
    <row r="164" spans="2:3" ht="15">
      <c r="B164" s="1" t="s">
        <v>871</v>
      </c>
      <c r="C164" s="1" t="s">
        <v>872</v>
      </c>
    </row>
    <row r="165" spans="1:3" ht="15">
      <c r="A165" s="24" t="s">
        <v>873</v>
      </c>
      <c r="B165" s="1" t="s">
        <v>874</v>
      </c>
      <c r="C165" s="1" t="s">
        <v>37</v>
      </c>
    </row>
    <row r="166" ht="15">
      <c r="D166" s="1" t="s">
        <v>875</v>
      </c>
    </row>
    <row r="167" spans="3:9" ht="15">
      <c r="C167" s="1" t="s">
        <v>876</v>
      </c>
      <c r="D167" s="1" t="s">
        <v>877</v>
      </c>
      <c r="E167" s="1" t="s">
        <v>160</v>
      </c>
      <c r="H167" s="2" t="s">
        <v>878</v>
      </c>
      <c r="I167" s="3" t="s">
        <v>161</v>
      </c>
    </row>
    <row r="168" spans="2:4" ht="15">
      <c r="B168" s="2" t="s">
        <v>879</v>
      </c>
      <c r="C168" s="1" t="s">
        <v>880</v>
      </c>
      <c r="D168" s="1" t="s">
        <v>162</v>
      </c>
    </row>
    <row r="169" spans="3:9" ht="15">
      <c r="C169" s="1" t="s">
        <v>881</v>
      </c>
      <c r="D169" s="1" t="s">
        <v>163</v>
      </c>
      <c r="I169" s="1" t="s">
        <v>405</v>
      </c>
    </row>
    <row r="170" spans="2:9" ht="15">
      <c r="B170" s="1" t="s">
        <v>882</v>
      </c>
      <c r="C170" s="1" t="s">
        <v>883</v>
      </c>
      <c r="D170" s="1" t="s">
        <v>164</v>
      </c>
      <c r="I170" s="1" t="s">
        <v>406</v>
      </c>
    </row>
    <row r="171" spans="2:6" ht="15">
      <c r="B171" s="1" t="s">
        <v>884</v>
      </c>
      <c r="C171" s="1" t="s">
        <v>885</v>
      </c>
      <c r="D171" s="1" t="s">
        <v>165</v>
      </c>
      <c r="F171" s="1" t="s">
        <v>886</v>
      </c>
    </row>
    <row r="172" spans="3:9" ht="15">
      <c r="C172" s="1" t="s">
        <v>887</v>
      </c>
      <c r="D172" s="1" t="s">
        <v>888</v>
      </c>
      <c r="I172" s="1" t="s">
        <v>889</v>
      </c>
    </row>
    <row r="173" spans="4:5" ht="15">
      <c r="D173" s="1" t="s">
        <v>890</v>
      </c>
      <c r="E173" s="1" t="s">
        <v>329</v>
      </c>
    </row>
    <row r="174" spans="4:5" ht="15">
      <c r="D174" s="1" t="s">
        <v>891</v>
      </c>
      <c r="E174" s="1" t="s">
        <v>330</v>
      </c>
    </row>
    <row r="175" spans="4:5" ht="15">
      <c r="D175" s="1" t="s">
        <v>892</v>
      </c>
      <c r="E175" s="1" t="s">
        <v>893</v>
      </c>
    </row>
    <row r="176" spans="4:9" ht="15">
      <c r="D176" s="1" t="s">
        <v>181</v>
      </c>
      <c r="I176" s="1" t="s">
        <v>894</v>
      </c>
    </row>
    <row r="177" spans="3:9" ht="15">
      <c r="C177" s="1" t="s">
        <v>895</v>
      </c>
      <c r="D177" s="1" t="s">
        <v>896</v>
      </c>
      <c r="I177" s="1" t="s">
        <v>897</v>
      </c>
    </row>
    <row r="178" ht="15">
      <c r="D178" s="1" t="s">
        <v>898</v>
      </c>
    </row>
    <row r="179" spans="3:4" ht="15">
      <c r="C179" s="1" t="s">
        <v>899</v>
      </c>
      <c r="D179" s="1" t="s">
        <v>900</v>
      </c>
    </row>
    <row r="180" ht="15">
      <c r="E180" s="1" t="s">
        <v>901</v>
      </c>
    </row>
    <row r="181" spans="3:4" ht="15">
      <c r="C181" s="1" t="s">
        <v>902</v>
      </c>
      <c r="D181" s="1" t="s">
        <v>903</v>
      </c>
    </row>
    <row r="182" spans="3:7" ht="15">
      <c r="C182" s="1" t="s">
        <v>904</v>
      </c>
      <c r="D182" s="1" t="s">
        <v>905</v>
      </c>
      <c r="G182" s="1" t="s">
        <v>906</v>
      </c>
    </row>
    <row r="183" spans="3:10" ht="15">
      <c r="C183" s="1" t="s">
        <v>907</v>
      </c>
      <c r="D183" s="1" t="s">
        <v>908</v>
      </c>
      <c r="H183" s="1" t="s">
        <v>909</v>
      </c>
      <c r="J183" s="1" t="s">
        <v>910</v>
      </c>
    </row>
    <row r="184" ht="15">
      <c r="E184" s="1" t="s">
        <v>340</v>
      </c>
    </row>
    <row r="185" spans="2:12" ht="15">
      <c r="B185" s="1" t="s">
        <v>911</v>
      </c>
      <c r="C185" s="1" t="s">
        <v>912</v>
      </c>
      <c r="D185" s="1" t="s">
        <v>913</v>
      </c>
      <c r="L185" s="1" t="s">
        <v>914</v>
      </c>
    </row>
    <row r="186" ht="15">
      <c r="D186" s="1" t="s">
        <v>915</v>
      </c>
    </row>
    <row r="187" spans="3:5" ht="15">
      <c r="C187" s="1" t="s">
        <v>916</v>
      </c>
      <c r="D187" s="1" t="s">
        <v>917</v>
      </c>
      <c r="E187" s="1" t="s">
        <v>319</v>
      </c>
    </row>
    <row r="188" spans="3:10" ht="15">
      <c r="C188" s="1" t="s">
        <v>918</v>
      </c>
      <c r="D188" s="1" t="s">
        <v>194</v>
      </c>
      <c r="J188" s="1" t="s">
        <v>919</v>
      </c>
    </row>
    <row r="189" ht="15">
      <c r="D189" s="1" t="s">
        <v>920</v>
      </c>
    </row>
    <row r="190" ht="15">
      <c r="E190" s="1" t="s">
        <v>921</v>
      </c>
    </row>
    <row r="191" spans="3:4" ht="15">
      <c r="C191" s="2" t="s">
        <v>38</v>
      </c>
      <c r="D191" s="1" t="s">
        <v>166</v>
      </c>
    </row>
    <row r="192" spans="3:12" ht="15">
      <c r="C192" s="1" t="s">
        <v>922</v>
      </c>
      <c r="D192" s="1" t="s">
        <v>212</v>
      </c>
      <c r="L192" s="1" t="s">
        <v>923</v>
      </c>
    </row>
    <row r="193" spans="3:4" ht="15">
      <c r="C193" s="1" t="s">
        <v>924</v>
      </c>
      <c r="D193" s="1" t="s">
        <v>213</v>
      </c>
    </row>
    <row r="194" ht="15">
      <c r="D194" s="1" t="s">
        <v>169</v>
      </c>
    </row>
    <row r="195" spans="3:12" ht="15">
      <c r="C195" s="1" t="s">
        <v>922</v>
      </c>
      <c r="D195" s="1" t="s">
        <v>221</v>
      </c>
      <c r="L195" s="1" t="s">
        <v>925</v>
      </c>
    </row>
    <row r="196" spans="3:4" ht="15">
      <c r="C196" s="1" t="s">
        <v>924</v>
      </c>
      <c r="D196" s="1" t="s">
        <v>222</v>
      </c>
    </row>
    <row r="197" spans="4:12" ht="15">
      <c r="D197" s="1" t="s">
        <v>926</v>
      </c>
      <c r="L197" s="1" t="s">
        <v>927</v>
      </c>
    </row>
    <row r="198" spans="3:4" ht="15">
      <c r="C198" s="1" t="s">
        <v>924</v>
      </c>
      <c r="D198" s="1" t="s">
        <v>235</v>
      </c>
    </row>
    <row r="199" spans="4:11" ht="15">
      <c r="D199" s="24" t="s">
        <v>928</v>
      </c>
      <c r="E199" s="24"/>
      <c r="F199" s="24"/>
      <c r="K199" s="1" t="s">
        <v>929</v>
      </c>
    </row>
    <row r="200" spans="4:6" ht="15">
      <c r="D200" s="1" t="s">
        <v>930</v>
      </c>
      <c r="F200" s="1" t="s">
        <v>931</v>
      </c>
    </row>
    <row r="201" ht="15">
      <c r="D201" s="1" t="s">
        <v>932</v>
      </c>
    </row>
    <row r="202" ht="15">
      <c r="D202" s="1" t="s">
        <v>933</v>
      </c>
    </row>
    <row r="203" spans="3:4" ht="15">
      <c r="C203" s="2" t="s">
        <v>934</v>
      </c>
      <c r="D203" s="1" t="s">
        <v>935</v>
      </c>
    </row>
    <row r="204" ht="15">
      <c r="D204" s="1" t="s">
        <v>936</v>
      </c>
    </row>
    <row r="205" ht="15">
      <c r="D205" s="1" t="s">
        <v>937</v>
      </c>
    </row>
    <row r="206" ht="15">
      <c r="E206" s="1" t="s">
        <v>938</v>
      </c>
    </row>
    <row r="207" ht="15">
      <c r="G207" s="1" t="s">
        <v>939</v>
      </c>
    </row>
    <row r="208" spans="6:9" ht="15">
      <c r="F208" s="1" t="s">
        <v>940</v>
      </c>
      <c r="H208" s="24"/>
      <c r="I208" s="24"/>
    </row>
    <row r="209" ht="15">
      <c r="E209" s="1" t="s">
        <v>941</v>
      </c>
    </row>
    <row r="210" spans="3:9" ht="15">
      <c r="C210" s="1" t="s">
        <v>942</v>
      </c>
      <c r="D210" s="1" t="s">
        <v>943</v>
      </c>
      <c r="H210" s="1" t="s">
        <v>944</v>
      </c>
      <c r="I210" s="1" t="s">
        <v>945</v>
      </c>
    </row>
    <row r="211" spans="4:8" ht="15">
      <c r="D211" s="1" t="s">
        <v>946</v>
      </c>
      <c r="H211" s="1" t="s">
        <v>947</v>
      </c>
    </row>
    <row r="212" spans="3:8" ht="15">
      <c r="C212" s="1" t="s">
        <v>948</v>
      </c>
      <c r="H212" s="1" t="s">
        <v>949</v>
      </c>
    </row>
    <row r="213" spans="4:5" ht="15">
      <c r="D213" s="1" t="s">
        <v>950</v>
      </c>
      <c r="E213" s="1" t="s">
        <v>951</v>
      </c>
    </row>
    <row r="214" ht="15">
      <c r="D214" s="1" t="s">
        <v>952</v>
      </c>
    </row>
    <row r="215" spans="3:4" ht="15">
      <c r="C215" s="1" t="s">
        <v>953</v>
      </c>
      <c r="D215" s="1" t="s">
        <v>954</v>
      </c>
    </row>
    <row r="216" ht="15">
      <c r="E216" s="1" t="s">
        <v>955</v>
      </c>
    </row>
    <row r="217" spans="3:4" ht="15">
      <c r="C217" s="1" t="s">
        <v>956</v>
      </c>
      <c r="D217" s="1" t="s">
        <v>679</v>
      </c>
    </row>
    <row r="218" spans="3:4" ht="15">
      <c r="C218" s="1" t="s">
        <v>957</v>
      </c>
      <c r="D218" s="1" t="s">
        <v>958</v>
      </c>
    </row>
    <row r="219" ht="15">
      <c r="E219" s="1" t="s">
        <v>959</v>
      </c>
    </row>
    <row r="220" spans="3:4" ht="15">
      <c r="C220" s="2" t="s">
        <v>960</v>
      </c>
      <c r="D220" s="1" t="s">
        <v>961</v>
      </c>
    </row>
    <row r="221" ht="15">
      <c r="E221" s="1" t="s">
        <v>962</v>
      </c>
    </row>
    <row r="222" spans="3:4" ht="15">
      <c r="C222" s="2" t="s">
        <v>963</v>
      </c>
      <c r="D222" s="1" t="s">
        <v>964</v>
      </c>
    </row>
    <row r="223" ht="15">
      <c r="E223" s="1" t="s">
        <v>965</v>
      </c>
    </row>
    <row r="224" ht="15">
      <c r="D224" s="1" t="s">
        <v>792</v>
      </c>
    </row>
    <row r="225" spans="4:5" ht="15">
      <c r="D225" s="1" t="s">
        <v>966</v>
      </c>
      <c r="E225" s="1" t="s">
        <v>21</v>
      </c>
    </row>
    <row r="226" spans="5:6" ht="15">
      <c r="E226" s="1" t="s">
        <v>967</v>
      </c>
      <c r="F226" s="1" t="s">
        <v>968</v>
      </c>
    </row>
    <row r="227" spans="2:4" ht="15">
      <c r="B227" s="1" t="s">
        <v>969</v>
      </c>
      <c r="C227" s="2" t="s">
        <v>970</v>
      </c>
      <c r="D227" s="1" t="s">
        <v>971</v>
      </c>
    </row>
    <row r="228" ht="15">
      <c r="E228" s="1" t="s">
        <v>972</v>
      </c>
    </row>
    <row r="229" ht="15">
      <c r="D229" s="1" t="s">
        <v>973</v>
      </c>
    </row>
    <row r="230" ht="15">
      <c r="E230" s="1" t="s">
        <v>974</v>
      </c>
    </row>
    <row r="231" spans="3:4" ht="15">
      <c r="C231" s="2" t="s">
        <v>518</v>
      </c>
      <c r="D231" s="1" t="s">
        <v>975</v>
      </c>
    </row>
    <row r="232" spans="3:4" ht="15">
      <c r="C232" s="1" t="s">
        <v>976</v>
      </c>
      <c r="D232" s="1" t="s">
        <v>21</v>
      </c>
    </row>
    <row r="233" ht="15">
      <c r="E233" s="1" t="s">
        <v>977</v>
      </c>
    </row>
    <row r="234" spans="3:4" ht="15">
      <c r="C234" s="1" t="s">
        <v>978</v>
      </c>
      <c r="D234" s="1" t="s">
        <v>979</v>
      </c>
    </row>
    <row r="235" spans="3:4" ht="15">
      <c r="C235" s="1" t="s">
        <v>980</v>
      </c>
      <c r="D235" s="1" t="s">
        <v>981</v>
      </c>
    </row>
    <row r="237" spans="5:12" ht="15">
      <c r="E237" s="1" t="s">
        <v>982</v>
      </c>
      <c r="J237" s="1" t="s">
        <v>983</v>
      </c>
      <c r="K237" s="24" t="s">
        <v>984</v>
      </c>
      <c r="L237" s="24" t="s">
        <v>985</v>
      </c>
    </row>
    <row r="238" spans="3:12" ht="15">
      <c r="C238" s="1" t="s">
        <v>986</v>
      </c>
      <c r="D238" s="1" t="s">
        <v>987</v>
      </c>
      <c r="K238" s="24">
        <v>200000</v>
      </c>
      <c r="L238" s="24">
        <v>0.1171</v>
      </c>
    </row>
    <row r="239" spans="4:12" ht="15">
      <c r="D239" s="3" t="s">
        <v>815</v>
      </c>
      <c r="E239" s="3" t="s">
        <v>988</v>
      </c>
      <c r="F239" s="3" t="s">
        <v>817</v>
      </c>
      <c r="G239" s="3" t="s">
        <v>102</v>
      </c>
      <c r="H239" s="3" t="s">
        <v>647</v>
      </c>
      <c r="I239" s="3" t="s">
        <v>989</v>
      </c>
      <c r="J239" s="3" t="s">
        <v>990</v>
      </c>
      <c r="K239" s="3" t="s">
        <v>991</v>
      </c>
      <c r="L239" s="3" t="s">
        <v>992</v>
      </c>
    </row>
    <row r="240" spans="4:12" ht="15.75">
      <c r="D240" s="4">
        <v>0.301</v>
      </c>
      <c r="E240" s="4">
        <v>30.4</v>
      </c>
      <c r="F240" s="4">
        <v>1</v>
      </c>
      <c r="G240" s="4">
        <v>0.092</v>
      </c>
      <c r="H240" s="4">
        <v>0.23</v>
      </c>
      <c r="I240" s="4">
        <v>13.54</v>
      </c>
      <c r="J240" s="4">
        <v>0.64</v>
      </c>
      <c r="K240" s="35">
        <f>L242+(K242+1/J242)*L244*D242/D244</f>
        <v>804.7735413802692</v>
      </c>
      <c r="L240" s="35">
        <f>833+273</f>
        <v>1106</v>
      </c>
    </row>
    <row r="241" spans="4:12" ht="15">
      <c r="D241" s="3" t="s">
        <v>835</v>
      </c>
      <c r="E241" s="3" t="s">
        <v>699</v>
      </c>
      <c r="F241" s="3" t="s">
        <v>544</v>
      </c>
      <c r="G241" s="3" t="s">
        <v>209</v>
      </c>
      <c r="H241" s="3" t="s">
        <v>206</v>
      </c>
      <c r="I241" s="3" t="s">
        <v>993</v>
      </c>
      <c r="J241" s="3" t="s">
        <v>994</v>
      </c>
      <c r="K241" s="3" t="s">
        <v>995</v>
      </c>
      <c r="L241" s="3" t="s">
        <v>996</v>
      </c>
    </row>
    <row r="242" spans="4:12" ht="15.75">
      <c r="D242" s="4">
        <v>41000</v>
      </c>
      <c r="E242" s="4">
        <v>5.47</v>
      </c>
      <c r="F242" s="35">
        <f>L240-273</f>
        <v>833</v>
      </c>
      <c r="G242" s="35">
        <f>D242*E242/(3600*E240)*(F242+273)/273</f>
        <v>8.302092705053232</v>
      </c>
      <c r="H242" s="35">
        <f>1.1077-0.002944*F242^0.7+0.67936*G240+0.0050854*F242^0.7*G240+0.0000089737*F242^1.4-2.4659*G240^2-0.000046377*F242^1.4*G240^2+23.168*F242^-0.1*G240^4</f>
        <v>0.9811810700573694</v>
      </c>
      <c r="I242" s="35">
        <f>I240*H242*G242^J240</f>
        <v>51.481106814969785</v>
      </c>
      <c r="J242" s="35">
        <f>L238*K238^0.8</f>
        <v>2038.8294192395244</v>
      </c>
      <c r="K242" s="4">
        <v>0.005</v>
      </c>
      <c r="L242" s="35">
        <f>414+273</f>
        <v>687</v>
      </c>
    </row>
    <row r="243" spans="4:12" ht="15">
      <c r="D243" s="3" t="s">
        <v>997</v>
      </c>
      <c r="E243" s="3" t="s">
        <v>820</v>
      </c>
      <c r="F243" s="3" t="s">
        <v>998</v>
      </c>
      <c r="G243" s="3" t="s">
        <v>999</v>
      </c>
      <c r="H243" s="3" t="s">
        <v>1000</v>
      </c>
      <c r="I243" s="3" t="s">
        <v>1001</v>
      </c>
      <c r="J243" s="3" t="s">
        <v>1002</v>
      </c>
      <c r="K243" s="3" t="s">
        <v>1003</v>
      </c>
      <c r="L243" s="3" t="s">
        <v>1004</v>
      </c>
    </row>
    <row r="244" spans="4:12" ht="15.75">
      <c r="D244" s="35">
        <f>1754/6</f>
        <v>292.3333333333333</v>
      </c>
      <c r="E244" s="35">
        <f>((0.78+1.6*G240)/(F240*H240*D240)^0.5-0.1)*(1-0.37*L240/1000)</f>
        <v>2.0227844961344563</v>
      </c>
      <c r="F244" s="35">
        <f>E244*H240</f>
        <v>0.46524043411092497</v>
      </c>
      <c r="G244" s="35">
        <f>1-EXP(-F244*F240*D240)</f>
        <v>0.1306742524915998</v>
      </c>
      <c r="H244" s="35">
        <f>0.000000049*(0.82+1)/2*G244*L240^3*(1-(K240/L240)^3.6)/(1-K240/L240)</f>
        <v>19.729469465651803</v>
      </c>
      <c r="I244" s="35">
        <f>I242+H244</f>
        <v>71.21057628062158</v>
      </c>
      <c r="J244" s="35">
        <f>1/(1/I244+K242+1/J242)</f>
        <v>51.19453391236717</v>
      </c>
      <c r="K244" s="35">
        <f>L240-L242</f>
        <v>419</v>
      </c>
      <c r="L244" s="35">
        <f>J244*D244*K244/D242</f>
        <v>152.94387817105834</v>
      </c>
    </row>
    <row r="245" ht="15">
      <c r="E245" s="1" t="s">
        <v>1005</v>
      </c>
    </row>
    <row r="246" spans="4:10" ht="15">
      <c r="D246" s="3" t="s">
        <v>1006</v>
      </c>
      <c r="E246" s="3" t="s">
        <v>109</v>
      </c>
      <c r="F246" s="3" t="s">
        <v>840</v>
      </c>
      <c r="G246" s="3" t="s">
        <v>1007</v>
      </c>
      <c r="H246" s="3" t="s">
        <v>1008</v>
      </c>
      <c r="I246" s="3" t="s">
        <v>544</v>
      </c>
      <c r="J246" s="3" t="s">
        <v>996</v>
      </c>
    </row>
    <row r="247" spans="4:10" ht="15.75">
      <c r="D247" s="4">
        <v>750</v>
      </c>
      <c r="E247" s="4">
        <v>100</v>
      </c>
      <c r="F247" s="4">
        <v>0.994</v>
      </c>
      <c r="G247" s="35">
        <f>L244*F247</f>
        <v>152.026214902032</v>
      </c>
      <c r="H247" s="35">
        <f>D247+G247*D242/K238</f>
        <v>781.1653740549166</v>
      </c>
      <c r="I247" s="35">
        <f>3074.3-3.1077*E247-2.3864*10^7*H247^-1.3+22437.3*E247*H247^-1.3+0.0041697*E247^2+4.8476*10^10*H247^-2.6-177649*E247^2*H247^-2.6</f>
        <v>459.57927401543026</v>
      </c>
      <c r="J247" s="35">
        <f>I247+273</f>
        <v>732.5792740154302</v>
      </c>
    </row>
    <row r="248" ht="15">
      <c r="D248" s="1" t="s">
        <v>1009</v>
      </c>
    </row>
    <row r="249" spans="4:10" ht="15.75">
      <c r="D249" s="3" t="s">
        <v>1010</v>
      </c>
      <c r="E249" s="3" t="s">
        <v>706</v>
      </c>
      <c r="F249" s="3" t="s">
        <v>699</v>
      </c>
      <c r="G249" s="7" t="s">
        <v>645</v>
      </c>
      <c r="H249" s="1" t="s">
        <v>695</v>
      </c>
      <c r="I249" s="3" t="s">
        <v>1011</v>
      </c>
      <c r="J249" s="3" t="s">
        <v>1012</v>
      </c>
    </row>
    <row r="250" spans="4:10" ht="15.75">
      <c r="D250" s="4">
        <v>405.7555202519123</v>
      </c>
      <c r="E250" s="4">
        <v>1.2766326530612244</v>
      </c>
      <c r="F250" s="35">
        <f>E242</f>
        <v>5.47</v>
      </c>
      <c r="G250" s="4">
        <v>0.07455982119245029</v>
      </c>
      <c r="H250" s="4">
        <v>0.02</v>
      </c>
      <c r="I250" s="35">
        <f>D250-L244/F250</f>
        <v>377.7950306411155</v>
      </c>
      <c r="J250" s="35">
        <f>-17.5+3.51*I250+38.864*E250^-0.5-0.30038*I250*E250^-0.5+0.0044766*I250^2-23.072/E250-0.000058066*I250^2/E250-0.010324*I250^1.9+IF(I250&lt;200,1.6-1.87*I250^0.3+0.2012*E250-21.75*H250+0.302*I250^0.6,-0.19-0.0006295*I250+0.7193*E250^-0.4+41.38*H250-0.4254*I250*E250^-0.4*H250)</f>
        <v>1041.0140028006783</v>
      </c>
    </row>
    <row r="252" ht="15">
      <c r="E252" s="1" t="s">
        <v>1013</v>
      </c>
    </row>
    <row r="253" spans="3:4" ht="15">
      <c r="C253" s="1" t="s">
        <v>986</v>
      </c>
      <c r="D253" s="1" t="s">
        <v>987</v>
      </c>
    </row>
    <row r="254" spans="4:12" ht="15">
      <c r="D254" s="3" t="s">
        <v>815</v>
      </c>
      <c r="E254" s="3" t="s">
        <v>988</v>
      </c>
      <c r="F254" s="3" t="s">
        <v>817</v>
      </c>
      <c r="G254" s="3" t="s">
        <v>102</v>
      </c>
      <c r="H254" s="3" t="s">
        <v>647</v>
      </c>
      <c r="I254" s="3" t="s">
        <v>989</v>
      </c>
      <c r="J254" s="3" t="s">
        <v>990</v>
      </c>
      <c r="K254" s="3" t="s">
        <v>991</v>
      </c>
      <c r="L254" s="3" t="s">
        <v>992</v>
      </c>
    </row>
    <row r="255" spans="4:12" ht="15.75">
      <c r="D255" s="4">
        <v>0.236</v>
      </c>
      <c r="E255" s="4">
        <v>19.8</v>
      </c>
      <c r="F255" s="4">
        <v>1</v>
      </c>
      <c r="G255" s="4">
        <v>0.09</v>
      </c>
      <c r="H255" s="4">
        <v>0.224</v>
      </c>
      <c r="I255" s="4">
        <v>19.664</v>
      </c>
      <c r="J255" s="4">
        <v>0.6</v>
      </c>
      <c r="K255" s="35">
        <f>L257+(K257+1/J257)*L259*D257/D259</f>
        <v>617.3968362680412</v>
      </c>
      <c r="L255" s="35">
        <f>530+273</f>
        <v>803</v>
      </c>
    </row>
    <row r="256" spans="4:12" ht="15">
      <c r="D256" s="3" t="s">
        <v>835</v>
      </c>
      <c r="E256" s="3" t="s">
        <v>699</v>
      </c>
      <c r="F256" s="3" t="s">
        <v>544</v>
      </c>
      <c r="G256" s="3" t="s">
        <v>209</v>
      </c>
      <c r="H256" s="3" t="s">
        <v>206</v>
      </c>
      <c r="I256" s="3" t="s">
        <v>993</v>
      </c>
      <c r="J256" s="3" t="s">
        <v>994</v>
      </c>
      <c r="K256" s="3" t="s">
        <v>995</v>
      </c>
      <c r="L256" s="3" t="s">
        <v>996</v>
      </c>
    </row>
    <row r="257" spans="4:12" ht="15.75">
      <c r="D257" s="4">
        <v>41000</v>
      </c>
      <c r="E257" s="4">
        <v>5.62</v>
      </c>
      <c r="F257" s="35">
        <f>L255-273</f>
        <v>530</v>
      </c>
      <c r="G257" s="35">
        <f>D257*E257/(3600*E255)*(F257+273)/273</f>
        <v>9.508354813910369</v>
      </c>
      <c r="H257" s="35">
        <f>1.723-0.00072545*F257-2.1255*G255^0.1+0.00081189*F257*G255^0.1+0.00000015846*F257^2+1.5631*G255^0.2-0.00000016954*F257^2*G255^0.2+257255*F257^-0.8*G255^10</f>
        <v>0.9868543728685575</v>
      </c>
      <c r="I257" s="35">
        <f>I255*H257*G257^J255</f>
        <v>74.95285207765271</v>
      </c>
      <c r="J257" s="4">
        <v>100000</v>
      </c>
      <c r="K257" s="4">
        <v>0.005</v>
      </c>
      <c r="L257" s="35">
        <f>267+273</f>
        <v>540</v>
      </c>
    </row>
    <row r="258" spans="4:12" ht="15">
      <c r="D258" s="3" t="s">
        <v>997</v>
      </c>
      <c r="E258" s="3" t="s">
        <v>820</v>
      </c>
      <c r="F258" s="3" t="s">
        <v>998</v>
      </c>
      <c r="G258" s="3" t="s">
        <v>999</v>
      </c>
      <c r="H258" s="3" t="s">
        <v>1000</v>
      </c>
      <c r="I258" s="3" t="s">
        <v>1001</v>
      </c>
      <c r="J258" s="3" t="s">
        <v>1002</v>
      </c>
      <c r="K258" s="3" t="s">
        <v>1003</v>
      </c>
      <c r="L258" s="3" t="s">
        <v>1004</v>
      </c>
    </row>
    <row r="259" spans="4:12" ht="15.75">
      <c r="D259" s="35">
        <f>952/6</f>
        <v>158.66666666666666</v>
      </c>
      <c r="E259" s="35">
        <f>((0.78+1.6*G255)/(F255*H255*D255)^0.5-0.1)*(1-0.37*L255/1000)</f>
        <v>2.7544564985324693</v>
      </c>
      <c r="F259" s="35">
        <f>E259*H255</f>
        <v>0.6169982556712731</v>
      </c>
      <c r="G259" s="35">
        <f>1-EXP(-F259*F255*D255)</f>
        <v>0.13550658269257698</v>
      </c>
      <c r="H259" s="35">
        <f>0.000000049*(0.82+1)/2*G259*L255^3*(1-(K255/L255)^3.6)/(1-K255/L255)</f>
        <v>8.281021754866469</v>
      </c>
      <c r="I259" s="35">
        <f>I257+H259</f>
        <v>83.23387383251918</v>
      </c>
      <c r="J259" s="35">
        <f>1/(1/I259+K257+1/J257)</f>
        <v>58.739430847841305</v>
      </c>
      <c r="K259" s="35">
        <f>L255-L257</f>
        <v>263</v>
      </c>
      <c r="L259" s="35">
        <f>J259*D259*K259/D257</f>
        <v>59.78432413804517</v>
      </c>
    </row>
    <row r="260" ht="15">
      <c r="E260" s="1" t="s">
        <v>1005</v>
      </c>
    </row>
    <row r="261" spans="4:12" ht="15">
      <c r="D261" s="3" t="s">
        <v>1014</v>
      </c>
      <c r="E261" s="3" t="s">
        <v>1015</v>
      </c>
      <c r="F261" s="3" t="s">
        <v>109</v>
      </c>
      <c r="G261" s="3" t="s">
        <v>840</v>
      </c>
      <c r="H261" s="3" t="s">
        <v>1007</v>
      </c>
      <c r="I261" s="3" t="s">
        <v>852</v>
      </c>
      <c r="J261" s="3" t="s">
        <v>865</v>
      </c>
      <c r="K261" s="3" t="s">
        <v>544</v>
      </c>
      <c r="L261" s="3" t="s">
        <v>996</v>
      </c>
    </row>
    <row r="262" spans="4:12" ht="15.75">
      <c r="D262" s="35">
        <f>200000*1.025</f>
        <v>204999.99999999997</v>
      </c>
      <c r="E262" s="4">
        <v>270</v>
      </c>
      <c r="F262" s="4">
        <v>100</v>
      </c>
      <c r="G262" s="4">
        <v>0.994</v>
      </c>
      <c r="H262" s="35">
        <f>L259*G262</f>
        <v>59.4256181932169</v>
      </c>
      <c r="I262" s="35">
        <f>E262+H262*D257/D262</f>
        <v>281.8851236386434</v>
      </c>
      <c r="J262" s="35">
        <f>193.897+1.6984*F262-0.0066353*F262^2+0.0000121825*F262^3</f>
        <v>309.56649999999996</v>
      </c>
      <c r="K262" s="35">
        <f>7.058+0.37694*I262^1.2-0.000087402*I262^2.4+5.2177*10^12*I262^-4*F262^-2</f>
        <v>269.1794773871519</v>
      </c>
      <c r="L262" s="35">
        <f>K262+273</f>
        <v>542.1794773871519</v>
      </c>
    </row>
    <row r="263" ht="15">
      <c r="D263" s="1" t="s">
        <v>1009</v>
      </c>
    </row>
    <row r="264" spans="4:10" ht="15.75">
      <c r="D264" s="3" t="s">
        <v>1010</v>
      </c>
      <c r="E264" s="3" t="s">
        <v>706</v>
      </c>
      <c r="F264" s="3" t="s">
        <v>699</v>
      </c>
      <c r="G264" s="7" t="s">
        <v>645</v>
      </c>
      <c r="H264" s="1" t="s">
        <v>695</v>
      </c>
      <c r="I264" s="3" t="s">
        <v>1011</v>
      </c>
      <c r="J264" s="3" t="s">
        <v>1012</v>
      </c>
    </row>
    <row r="265" spans="4:10" ht="15.75">
      <c r="D265" s="4">
        <v>188.55492214122808</v>
      </c>
      <c r="E265" s="4">
        <v>1.340408163265306</v>
      </c>
      <c r="F265" s="35">
        <f>E257</f>
        <v>5.62</v>
      </c>
      <c r="G265" s="4">
        <v>0.07136460105255732</v>
      </c>
      <c r="H265" s="4">
        <v>0.02</v>
      </c>
      <c r="I265" s="35">
        <f>D265-L259/F265</f>
        <v>177.9171420454905</v>
      </c>
      <c r="J265" s="35">
        <f>-17.5+3.51*I265+38.864*E265^-0.5-0.30038*I265*E265^-0.5+0.0044766*I265^2-23.072/E265-0.000058066*I265^2/E265-0.010324*I265^1.9+IF(I265&lt;200,1.6-1.87*I265^0.3+0.2012*E265-21.75*H265+0.302*I265^0.6,-0.19-0.0006295*I265+0.7193*E265^-0.4+41.38*H265-0.4254*I265*E265^-0.4*H265)</f>
        <v>522.2126988769954</v>
      </c>
    </row>
    <row r="267" spans="4:9" ht="15">
      <c r="D267" s="1" t="s">
        <v>1016</v>
      </c>
      <c r="E267" s="1" t="s">
        <v>1017</v>
      </c>
      <c r="I267" s="2" t="s">
        <v>1018</v>
      </c>
    </row>
    <row r="268" spans="4:12" ht="15">
      <c r="D268" s="3" t="s">
        <v>1019</v>
      </c>
      <c r="E268" s="3" t="s">
        <v>102</v>
      </c>
      <c r="F268" s="3" t="s">
        <v>1020</v>
      </c>
      <c r="G268" s="3" t="s">
        <v>1021</v>
      </c>
      <c r="H268" s="3" t="s">
        <v>992</v>
      </c>
      <c r="I268" s="3" t="s">
        <v>699</v>
      </c>
      <c r="J268" s="3" t="s">
        <v>1022</v>
      </c>
      <c r="K268" s="3" t="s">
        <v>1023</v>
      </c>
      <c r="L268" s="3" t="s">
        <v>1024</v>
      </c>
    </row>
    <row r="269" spans="4:12" ht="15.75">
      <c r="D269" s="4">
        <v>11.3</v>
      </c>
      <c r="E269" s="4">
        <v>0.088</v>
      </c>
      <c r="F269" s="4">
        <v>4.3685</v>
      </c>
      <c r="G269" s="4">
        <v>0.8</v>
      </c>
      <c r="H269" s="35">
        <f>375+273</f>
        <v>648</v>
      </c>
      <c r="I269" s="4">
        <v>5.76</v>
      </c>
      <c r="J269" s="35">
        <f>D273*I269/(3600*D269)*H269/273</f>
        <v>13.779636292910629</v>
      </c>
      <c r="K269" s="35">
        <f>1.6256-0.045133*(H269-273)^0.5+0.4512*E269+0.093678*(H269-273)^0.5*E269+0.00045725*(H269-273)+1.5688*E269^2-0.12748*(H269-273)^0.5*E269^1.2</f>
        <v>1.0009548537426194</v>
      </c>
      <c r="L269" s="35">
        <f>F269*K269*J269^G269</f>
        <v>35.6563622807341</v>
      </c>
    </row>
    <row r="270" spans="4:12" ht="15">
      <c r="D270" s="3" t="s">
        <v>1025</v>
      </c>
      <c r="E270" s="3" t="s">
        <v>1026</v>
      </c>
      <c r="F270" s="3" t="s">
        <v>1027</v>
      </c>
      <c r="G270" s="3" t="s">
        <v>1028</v>
      </c>
      <c r="H270" s="3" t="s">
        <v>1029</v>
      </c>
      <c r="I270" s="3" t="s">
        <v>1030</v>
      </c>
      <c r="J270" s="3" t="s">
        <v>1031</v>
      </c>
      <c r="K270" s="3" t="s">
        <v>1032</v>
      </c>
      <c r="L270" s="3" t="s">
        <v>1033</v>
      </c>
    </row>
    <row r="271" spans="4:12" ht="15.75">
      <c r="D271" s="4">
        <v>10.1</v>
      </c>
      <c r="E271" s="4">
        <v>0.75</v>
      </c>
      <c r="F271" s="4">
        <v>18.774</v>
      </c>
      <c r="G271" s="4">
        <v>0.6</v>
      </c>
      <c r="H271" s="35">
        <f>252+273</f>
        <v>525</v>
      </c>
      <c r="I271" s="4">
        <v>4.38</v>
      </c>
      <c r="J271" s="35">
        <f>D273*I271/(3600*D271)*H271/273</f>
        <v>9.497969027671997</v>
      </c>
      <c r="K271" s="35">
        <f>2.2357-0.72908*(H271-173)^0.1-0.0082964*(H271-173)^0.2</f>
        <v>0.8984189407398554</v>
      </c>
      <c r="L271" s="35">
        <f>F271*K271*J271^G271</f>
        <v>65.10497286521439</v>
      </c>
    </row>
    <row r="272" spans="4:11" ht="15">
      <c r="D272" s="3" t="s">
        <v>835</v>
      </c>
      <c r="E272" s="3" t="s">
        <v>997</v>
      </c>
      <c r="F272" s="3" t="s">
        <v>1002</v>
      </c>
      <c r="G272" s="3" t="s">
        <v>1003</v>
      </c>
      <c r="H272" s="3" t="s">
        <v>1004</v>
      </c>
      <c r="J272" s="3" t="s">
        <v>991</v>
      </c>
      <c r="K272" s="3" t="s">
        <v>1034</v>
      </c>
    </row>
    <row r="273" spans="4:11" ht="15.75">
      <c r="D273" s="4">
        <v>41000</v>
      </c>
      <c r="E273" s="35">
        <f>5420/6</f>
        <v>903.3333333333334</v>
      </c>
      <c r="F273" s="35">
        <f>E271/(1/L269+1/L271)</f>
        <v>17.278997658652916</v>
      </c>
      <c r="G273" s="35">
        <f>H269-H271</f>
        <v>123</v>
      </c>
      <c r="H273" s="35">
        <f>F273*E273*G273/D273</f>
        <v>46.82608365494941</v>
      </c>
      <c r="J273" s="35">
        <f>(H269+H271)/2</f>
        <v>586.5</v>
      </c>
      <c r="K273" s="35">
        <f>J273-273</f>
        <v>313.5</v>
      </c>
    </row>
    <row r="274" ht="15">
      <c r="E274" s="1" t="s">
        <v>1005</v>
      </c>
    </row>
    <row r="275" spans="5:11" ht="15">
      <c r="E275" s="3" t="s">
        <v>1035</v>
      </c>
      <c r="F275" s="3" t="s">
        <v>695</v>
      </c>
      <c r="G275" s="3" t="s">
        <v>840</v>
      </c>
      <c r="H275" s="3" t="s">
        <v>1007</v>
      </c>
      <c r="I275" s="3" t="s">
        <v>1036</v>
      </c>
      <c r="J275" s="3" t="s">
        <v>1037</v>
      </c>
      <c r="K275" s="3" t="s">
        <v>996</v>
      </c>
    </row>
    <row r="276" spans="5:11" ht="15.75">
      <c r="E276" s="4">
        <v>62</v>
      </c>
      <c r="F276" s="4">
        <v>0.02</v>
      </c>
      <c r="G276" s="4">
        <v>0.994</v>
      </c>
      <c r="H276" s="35">
        <f>H273*G276</f>
        <v>46.54512715301971</v>
      </c>
      <c r="I276" s="35">
        <f>E276+H276/I271</f>
        <v>72.62674135913693</v>
      </c>
      <c r="J276" s="35">
        <f>3.2584*I276-0.00087946*I276^2-0.56112*I276*F276</f>
        <v>231.1930896767123</v>
      </c>
      <c r="K276" s="35">
        <f>J276+273</f>
        <v>504.1930896767123</v>
      </c>
    </row>
    <row r="277" ht="15">
      <c r="D277" s="1" t="s">
        <v>1009</v>
      </c>
    </row>
    <row r="278" spans="4:10" ht="15.75">
      <c r="D278" s="3" t="s">
        <v>1010</v>
      </c>
      <c r="E278" s="3" t="s">
        <v>706</v>
      </c>
      <c r="F278" s="3" t="s">
        <v>699</v>
      </c>
      <c r="G278" s="7" t="s">
        <v>645</v>
      </c>
      <c r="H278" s="1" t="s">
        <v>695</v>
      </c>
      <c r="I278" s="3" t="s">
        <v>1011</v>
      </c>
      <c r="J278" s="3" t="s">
        <v>1012</v>
      </c>
    </row>
    <row r="279" spans="4:10" ht="15.75">
      <c r="D279" s="4">
        <v>158.31523478790507</v>
      </c>
      <c r="E279" s="4">
        <v>1.3859620991253643</v>
      </c>
      <c r="F279" s="35">
        <f>I269</f>
        <v>5.76</v>
      </c>
      <c r="G279" s="4">
        <v>0.06924498965487691</v>
      </c>
      <c r="H279" s="4">
        <v>0.02</v>
      </c>
      <c r="I279" s="35">
        <f>D279-H273/F279</f>
        <v>150.18570637558747</v>
      </c>
      <c r="J279" s="35">
        <f>-17.5+3.51*I279+38.864*E279^-0.5-0.30038*I279*E279^-0.5+0.0044766*I279^2-23.072/E279-0.000058066*I279^2/E279-0.010324*I279^1.9+IF(I279&lt;200,1.6-1.87*I279^0.3+0.2012*E279-21.75*H279+0.302*I279^0.6,-0.19-0.0006295*I279+0.7193*E279^-0.4+41.38*H279-0.4254*I279*E279^-0.4*H279)</f>
        <v>445.79500720452137</v>
      </c>
    </row>
    <row r="281" spans="5:11" ht="15">
      <c r="E281" s="1" t="s">
        <v>1038</v>
      </c>
      <c r="J281" s="24"/>
      <c r="K281" s="24"/>
    </row>
    <row r="282" ht="15">
      <c r="F282" s="1" t="s">
        <v>982</v>
      </c>
    </row>
    <row r="283" spans="5:43" ht="15">
      <c r="E283" s="1" t="s">
        <v>987</v>
      </c>
      <c r="AJ283" s="1" t="s">
        <v>1005</v>
      </c>
      <c r="AQ283" s="1" t="s">
        <v>1009</v>
      </c>
    </row>
    <row r="284" spans="4:49" ht="15.75">
      <c r="D284" s="1" t="s">
        <v>1039</v>
      </c>
      <c r="E284" s="24" t="s">
        <v>984</v>
      </c>
      <c r="F284" s="24" t="s">
        <v>985</v>
      </c>
      <c r="G284" s="3" t="s">
        <v>815</v>
      </c>
      <c r="H284" s="3" t="s">
        <v>988</v>
      </c>
      <c r="I284" s="3" t="s">
        <v>817</v>
      </c>
      <c r="J284" s="3" t="s">
        <v>102</v>
      </c>
      <c r="K284" s="3" t="s">
        <v>647</v>
      </c>
      <c r="L284" s="3" t="s">
        <v>989</v>
      </c>
      <c r="M284" s="3" t="s">
        <v>990</v>
      </c>
      <c r="N284" s="3" t="s">
        <v>991</v>
      </c>
      <c r="O284" s="3" t="s">
        <v>992</v>
      </c>
      <c r="P284" s="3" t="s">
        <v>835</v>
      </c>
      <c r="Q284" s="3" t="s">
        <v>699</v>
      </c>
      <c r="R284" s="3" t="s">
        <v>544</v>
      </c>
      <c r="S284" s="3" t="s">
        <v>209</v>
      </c>
      <c r="T284" s="3" t="s">
        <v>206</v>
      </c>
      <c r="U284" s="3" t="s">
        <v>993</v>
      </c>
      <c r="V284" s="3" t="s">
        <v>994</v>
      </c>
      <c r="W284" s="3" t="s">
        <v>995</v>
      </c>
      <c r="X284" s="3" t="s">
        <v>996</v>
      </c>
      <c r="Y284" s="3" t="s">
        <v>997</v>
      </c>
      <c r="Z284" s="3" t="s">
        <v>820</v>
      </c>
      <c r="AA284" s="3" t="s">
        <v>998</v>
      </c>
      <c r="AB284" s="3" t="s">
        <v>999</v>
      </c>
      <c r="AC284" s="3" t="s">
        <v>1000</v>
      </c>
      <c r="AD284" s="3" t="s">
        <v>1001</v>
      </c>
      <c r="AE284" s="3" t="s">
        <v>1002</v>
      </c>
      <c r="AF284" s="3" t="s">
        <v>1003</v>
      </c>
      <c r="AG284" s="3" t="s">
        <v>1004</v>
      </c>
      <c r="AI284" s="3" t="s">
        <v>1006</v>
      </c>
      <c r="AJ284" s="3" t="s">
        <v>109</v>
      </c>
      <c r="AK284" s="3" t="s">
        <v>840</v>
      </c>
      <c r="AL284" s="3" t="s">
        <v>1007</v>
      </c>
      <c r="AM284" s="3" t="s">
        <v>1008</v>
      </c>
      <c r="AN284" s="3" t="s">
        <v>865</v>
      </c>
      <c r="AO284" s="3" t="s">
        <v>544</v>
      </c>
      <c r="AP284" s="3" t="s">
        <v>996</v>
      </c>
      <c r="AQ284" s="3" t="s">
        <v>1010</v>
      </c>
      <c r="AR284" s="3" t="s">
        <v>706</v>
      </c>
      <c r="AS284" s="3" t="s">
        <v>699</v>
      </c>
      <c r="AT284" s="7" t="s">
        <v>645</v>
      </c>
      <c r="AU284" s="1" t="s">
        <v>695</v>
      </c>
      <c r="AV284" s="3" t="s">
        <v>1011</v>
      </c>
      <c r="AW284" s="3" t="s">
        <v>1012</v>
      </c>
    </row>
    <row r="285" spans="5:49" ht="15.75">
      <c r="E285" s="24">
        <v>200000</v>
      </c>
      <c r="F285" s="24">
        <v>0.1171</v>
      </c>
      <c r="G285" s="4">
        <v>0.301</v>
      </c>
      <c r="H285" s="4">
        <v>30.4</v>
      </c>
      <c r="I285" s="4">
        <v>1</v>
      </c>
      <c r="J285" s="4">
        <v>0.092</v>
      </c>
      <c r="K285" s="4">
        <v>0.23</v>
      </c>
      <c r="L285" s="4">
        <v>13.54</v>
      </c>
      <c r="M285" s="4">
        <v>0.64</v>
      </c>
      <c r="N285" s="35">
        <f>X285+(W285+1/V285)*AG285*P285/Y285</f>
        <v>804.7735413802692</v>
      </c>
      <c r="O285" s="35">
        <f>833+273</f>
        <v>1106</v>
      </c>
      <c r="P285" s="4">
        <v>41000</v>
      </c>
      <c r="Q285" s="4">
        <v>5.47</v>
      </c>
      <c r="R285" s="35">
        <f>O285-273</f>
        <v>833</v>
      </c>
      <c r="S285" s="35">
        <f>P285*Q285/(3600*H285)*(R285+273)/273</f>
        <v>8.302092705053232</v>
      </c>
      <c r="T285" s="35">
        <f>1.1077-0.002944*R285^0.7+0.67936*J285+0.0050854*R285^0.7*J285+0.0000089737*R285^1.4-2.4659*J285^2-0.000046377*R285^1.4*J285^2+23.168*R285^-0.1*J285^4</f>
        <v>0.9811810700573694</v>
      </c>
      <c r="U285" s="35">
        <f>L285*T285*S285^M285</f>
        <v>51.481106814969785</v>
      </c>
      <c r="V285" s="35">
        <f>F285*E285^0.8</f>
        <v>2038.8294192395244</v>
      </c>
      <c r="W285" s="4">
        <v>0.005</v>
      </c>
      <c r="X285" s="35">
        <f>414+273</f>
        <v>687</v>
      </c>
      <c r="Y285" s="35">
        <f>1754/6</f>
        <v>292.3333333333333</v>
      </c>
      <c r="Z285" s="35">
        <f>((0.78+1.6*J285)/(I285*K285*G285)^0.5-0.1)*(1-0.37*O285/1000)</f>
        <v>2.0227844961344563</v>
      </c>
      <c r="AA285" s="35">
        <f>Z285*K285</f>
        <v>0.46524043411092497</v>
      </c>
      <c r="AB285" s="35">
        <f>1-EXP(-AA285*I285*G285)</f>
        <v>0.1306742524915998</v>
      </c>
      <c r="AC285" s="35">
        <f>0.000000049*(0.82+1)/2*AB285*O285^3*(1-(N285/O285)^3.6)/(1-N285/O285)</f>
        <v>19.729469465651803</v>
      </c>
      <c r="AD285" s="35">
        <f>U285+AC285</f>
        <v>71.21057628062158</v>
      </c>
      <c r="AE285" s="35">
        <f>1/(1/AD285+W285+1/V285)</f>
        <v>51.19453391236717</v>
      </c>
      <c r="AF285" s="35">
        <f>O285-X285</f>
        <v>419</v>
      </c>
      <c r="AG285" s="35">
        <f>AE285*Y285*AF285/P285</f>
        <v>152.94387817105834</v>
      </c>
      <c r="AI285" s="4">
        <v>750</v>
      </c>
      <c r="AJ285" s="4">
        <v>100</v>
      </c>
      <c r="AK285" s="4">
        <v>0.994</v>
      </c>
      <c r="AL285" s="35">
        <f>AG285*AK285</f>
        <v>152.026214902032</v>
      </c>
      <c r="AM285" s="35">
        <f>AI285+AL285*P285/E285</f>
        <v>781.1653740549166</v>
      </c>
      <c r="AN285" s="35">
        <f>193.897+1.6984*AJ285-0.0066353*AJ285^2+0.0000121825*AJ285^3</f>
        <v>309.56649999999996</v>
      </c>
      <c r="AO285" s="35">
        <f>3074.3-3.1077*AJ285-2.3864*10^7*AM285^-1.3+22437.3*AJ285*AM285^-1.3+0.0041697*AJ285^2+4.8476*10^10*AM285^-2.6-177649*AJ285^2*AM285^-2.6</f>
        <v>459.57927401543026</v>
      </c>
      <c r="AP285" s="35">
        <f>AO285+273</f>
        <v>732.5792740154302</v>
      </c>
      <c r="AQ285" s="4">
        <v>405.7555202519123</v>
      </c>
      <c r="AR285" s="4">
        <v>1.2766326530612244</v>
      </c>
      <c r="AS285" s="35">
        <f>Q285</f>
        <v>5.47</v>
      </c>
      <c r="AT285" s="4">
        <v>0.07455982119245029</v>
      </c>
      <c r="AU285" s="4">
        <v>0.02</v>
      </c>
      <c r="AV285" s="35">
        <f>AQ285-AG285/AS285</f>
        <v>377.7950306411155</v>
      </c>
      <c r="AW285" s="35">
        <f>-17.5+3.51*AV285+38.864*AR285^-0.5-0.30038*AV285*AR285^-0.5+0.0044766*AV285^2-23.072/AR285-0.000058066*AV285^2/AR285-0.010324*AV285^1.9+IF(AV285&lt;200,1.6-1.87*AV285^0.3+0.2012*AR285-21.75*AU285+0.302*AV285^0.6,-0.19-0.0006295*AV285+0.7193*AR285^-0.4+41.38*AU285-0.4254*AV285*AR285^-0.4*AU285)</f>
        <v>1041.0140028006783</v>
      </c>
    </row>
    <row r="287" ht="15">
      <c r="H287" s="1" t="s">
        <v>1013</v>
      </c>
    </row>
    <row r="288" spans="7:43" ht="15">
      <c r="G288" s="1" t="s">
        <v>987</v>
      </c>
      <c r="AI288" s="1" t="s">
        <v>1005</v>
      </c>
      <c r="AQ288" s="1" t="s">
        <v>1009</v>
      </c>
    </row>
    <row r="289" spans="7:49" ht="15.75">
      <c r="G289" s="3" t="s">
        <v>815</v>
      </c>
      <c r="H289" s="3" t="s">
        <v>988</v>
      </c>
      <c r="I289" s="3" t="s">
        <v>817</v>
      </c>
      <c r="J289" s="3" t="s">
        <v>102</v>
      </c>
      <c r="K289" s="3" t="s">
        <v>647</v>
      </c>
      <c r="L289" s="3" t="s">
        <v>989</v>
      </c>
      <c r="M289" s="3" t="s">
        <v>990</v>
      </c>
      <c r="N289" s="3" t="s">
        <v>991</v>
      </c>
      <c r="O289" s="3" t="s">
        <v>992</v>
      </c>
      <c r="P289" s="3" t="s">
        <v>835</v>
      </c>
      <c r="Q289" s="3" t="s">
        <v>699</v>
      </c>
      <c r="R289" s="3" t="s">
        <v>544</v>
      </c>
      <c r="S289" s="3" t="s">
        <v>209</v>
      </c>
      <c r="T289" s="3" t="s">
        <v>206</v>
      </c>
      <c r="U289" s="3" t="s">
        <v>993</v>
      </c>
      <c r="V289" s="3" t="s">
        <v>994</v>
      </c>
      <c r="W289" s="3" t="s">
        <v>995</v>
      </c>
      <c r="X289" s="3" t="s">
        <v>996</v>
      </c>
      <c r="Y289" s="3" t="s">
        <v>997</v>
      </c>
      <c r="Z289" s="3" t="s">
        <v>820</v>
      </c>
      <c r="AA289" s="3" t="s">
        <v>998</v>
      </c>
      <c r="AB289" s="3" t="s">
        <v>999</v>
      </c>
      <c r="AC289" s="3" t="s">
        <v>1000</v>
      </c>
      <c r="AD289" s="3" t="s">
        <v>1001</v>
      </c>
      <c r="AE289" s="3" t="s">
        <v>1002</v>
      </c>
      <c r="AF289" s="3" t="s">
        <v>1003</v>
      </c>
      <c r="AG289" s="3" t="s">
        <v>1004</v>
      </c>
      <c r="AH289" s="3" t="s">
        <v>1014</v>
      </c>
      <c r="AI289" s="3" t="s">
        <v>1015</v>
      </c>
      <c r="AJ289" s="3" t="s">
        <v>109</v>
      </c>
      <c r="AK289" s="3" t="s">
        <v>840</v>
      </c>
      <c r="AL289" s="3" t="s">
        <v>1007</v>
      </c>
      <c r="AM289" s="3" t="s">
        <v>852</v>
      </c>
      <c r="AN289" s="3" t="s">
        <v>865</v>
      </c>
      <c r="AO289" s="3" t="s">
        <v>544</v>
      </c>
      <c r="AP289" s="3" t="s">
        <v>996</v>
      </c>
      <c r="AQ289" s="3" t="s">
        <v>1010</v>
      </c>
      <c r="AR289" s="3" t="s">
        <v>706</v>
      </c>
      <c r="AS289" s="3" t="s">
        <v>699</v>
      </c>
      <c r="AT289" s="7" t="s">
        <v>645</v>
      </c>
      <c r="AU289" s="1" t="s">
        <v>695</v>
      </c>
      <c r="AV289" s="3" t="s">
        <v>1011</v>
      </c>
      <c r="AW289" s="3" t="s">
        <v>1012</v>
      </c>
    </row>
    <row r="290" spans="7:49" ht="15.75">
      <c r="G290" s="4">
        <v>0.236</v>
      </c>
      <c r="H290" s="4">
        <v>19.8</v>
      </c>
      <c r="I290" s="4">
        <v>1</v>
      </c>
      <c r="J290" s="4">
        <v>0.09</v>
      </c>
      <c r="K290" s="4">
        <v>0.224</v>
      </c>
      <c r="L290" s="4">
        <v>19.664</v>
      </c>
      <c r="M290" s="4">
        <v>0.6</v>
      </c>
      <c r="N290" s="35">
        <f>X290+(W290+1/V290)*AG290*P290/Y290</f>
        <v>617.3968362680412</v>
      </c>
      <c r="O290" s="35">
        <f>530+273</f>
        <v>803</v>
      </c>
      <c r="P290" s="4">
        <v>41000</v>
      </c>
      <c r="Q290" s="4">
        <v>5.62</v>
      </c>
      <c r="R290" s="35">
        <f>O290-273</f>
        <v>530</v>
      </c>
      <c r="S290" s="35">
        <f>P290*Q290/(3600*H290)*(R290+273)/273</f>
        <v>9.508354813910369</v>
      </c>
      <c r="T290" s="35">
        <f>1.723-0.00072545*R290-2.1255*J290^0.1+0.00081189*R290*J290^0.1+0.00000015846*R290^2+1.5631*J290^0.2-0.00000016954*R290^2*J290^0.2+257255*R290^-0.8*J290^10</f>
        <v>0.9868543728685575</v>
      </c>
      <c r="U290" s="35">
        <f>L290*T290*S290^M290</f>
        <v>74.95285207765271</v>
      </c>
      <c r="V290" s="4">
        <v>100000</v>
      </c>
      <c r="W290" s="4">
        <v>0.005</v>
      </c>
      <c r="X290" s="35">
        <f>267+273</f>
        <v>540</v>
      </c>
      <c r="Y290" s="35">
        <f>952/6</f>
        <v>158.66666666666666</v>
      </c>
      <c r="Z290" s="35">
        <f>((0.78+1.6*J290)/(I290*K290*G290)^0.5-0.1)*(1-0.37*O290/1000)</f>
        <v>2.7544564985324693</v>
      </c>
      <c r="AA290" s="35">
        <f>Z290*K290</f>
        <v>0.6169982556712731</v>
      </c>
      <c r="AB290" s="35">
        <f>1-EXP(-AA290*I290*G290)</f>
        <v>0.13550658269257698</v>
      </c>
      <c r="AC290" s="35">
        <f>0.000000049*(0.82+1)/2*AB290*O290^3*(1-(N290/O290)^3.6)/(1-N290/O290)</f>
        <v>8.281021754866469</v>
      </c>
      <c r="AD290" s="35">
        <f>U290+AC290</f>
        <v>83.23387383251918</v>
      </c>
      <c r="AE290" s="35">
        <f>1/(1/AD290+W290+1/V290)</f>
        <v>58.739430847841305</v>
      </c>
      <c r="AF290" s="35">
        <f>O290-X290</f>
        <v>263</v>
      </c>
      <c r="AG290" s="35">
        <f>AE290*Y290*AF290/P290</f>
        <v>59.78432413804517</v>
      </c>
      <c r="AH290" s="35">
        <f>200000*1.025</f>
        <v>204999.99999999997</v>
      </c>
      <c r="AI290" s="4">
        <v>270</v>
      </c>
      <c r="AJ290" s="4">
        <v>100</v>
      </c>
      <c r="AK290" s="4">
        <v>0.994</v>
      </c>
      <c r="AL290" s="35">
        <f>AG290*AK290</f>
        <v>59.4256181932169</v>
      </c>
      <c r="AM290" s="35">
        <f>AI290+AL290*P290/AH290</f>
        <v>281.8851236386434</v>
      </c>
      <c r="AN290" s="35">
        <f>193.897+1.6984*AJ290-0.0066353*AJ290^2+0.0000121825*AJ290^3</f>
        <v>309.56649999999996</v>
      </c>
      <c r="AO290" s="35">
        <f>7.058+0.37694*AM290^1.2-0.000087402*AM290^2.4+5.2177*10^12*AM290^-4*AJ290^-2</f>
        <v>269.1794773871519</v>
      </c>
      <c r="AP290" s="35">
        <f>AO290+273</f>
        <v>542.1794773871519</v>
      </c>
      <c r="AQ290" s="4">
        <v>188.55492214122808</v>
      </c>
      <c r="AR290" s="4">
        <v>1.340408163265306</v>
      </c>
      <c r="AS290" s="35">
        <f>Q290</f>
        <v>5.62</v>
      </c>
      <c r="AT290" s="4">
        <v>0.07136460105255732</v>
      </c>
      <c r="AU290" s="4">
        <v>0.02</v>
      </c>
      <c r="AV290" s="35">
        <f>AQ290-AG290/AS290</f>
        <v>177.9171420454905</v>
      </c>
      <c r="AW290" s="35">
        <f>-17.5+3.51*AV290+38.864*AR290^-0.5-0.30038*AV290*AR290^-0.5+0.0044766*AV290^2-23.072/AR290-0.000058066*AV290^2/AR290-0.010324*AV290^1.9+IF(AV290&lt;200,1.6-1.87*AV290^0.3+0.2012*AR290-21.75*AU290+0.302*AV290^0.6,-0.19-0.0006295*AV290+0.7193*AR290^-0.4+41.38*AU290-0.4254*AV290*AR290^-0.4*AU290)</f>
        <v>522.2126988769954</v>
      </c>
    </row>
    <row r="292" spans="5:43" ht="15">
      <c r="E292" s="1" t="s">
        <v>1040</v>
      </c>
      <c r="F292" s="1" t="s">
        <v>1017</v>
      </c>
      <c r="AI292" s="1" t="s">
        <v>1005</v>
      </c>
      <c r="AQ292" s="1" t="s">
        <v>1009</v>
      </c>
    </row>
    <row r="293" spans="5:49" ht="15.75">
      <c r="E293" s="3" t="s">
        <v>1019</v>
      </c>
      <c r="F293" s="3" t="s">
        <v>102</v>
      </c>
      <c r="G293" s="3" t="s">
        <v>1020</v>
      </c>
      <c r="H293" s="3" t="s">
        <v>1021</v>
      </c>
      <c r="I293" s="3" t="s">
        <v>992</v>
      </c>
      <c r="J293" s="3" t="s">
        <v>699</v>
      </c>
      <c r="K293" s="3" t="s">
        <v>1022</v>
      </c>
      <c r="L293" s="3" t="s">
        <v>1023</v>
      </c>
      <c r="M293" s="3" t="s">
        <v>1024</v>
      </c>
      <c r="N293" s="3" t="s">
        <v>1025</v>
      </c>
      <c r="O293" s="3" t="s">
        <v>1026</v>
      </c>
      <c r="P293" s="3" t="s">
        <v>1027</v>
      </c>
      <c r="Q293" s="3" t="s">
        <v>1028</v>
      </c>
      <c r="R293" s="3" t="s">
        <v>1029</v>
      </c>
      <c r="S293" s="3" t="s">
        <v>1030</v>
      </c>
      <c r="T293" s="3" t="s">
        <v>1031</v>
      </c>
      <c r="U293" s="3" t="s">
        <v>1032</v>
      </c>
      <c r="V293" s="3" t="s">
        <v>1033</v>
      </c>
      <c r="W293" s="3" t="s">
        <v>835</v>
      </c>
      <c r="X293" s="3" t="s">
        <v>997</v>
      </c>
      <c r="Y293" s="3" t="s">
        <v>1002</v>
      </c>
      <c r="Z293" s="3" t="s">
        <v>1003</v>
      </c>
      <c r="AA293" s="3" t="s">
        <v>1004</v>
      </c>
      <c r="AC293" s="3" t="s">
        <v>991</v>
      </c>
      <c r="AD293" s="3" t="s">
        <v>1034</v>
      </c>
      <c r="AI293" s="3" t="s">
        <v>1035</v>
      </c>
      <c r="AJ293" s="3" t="s">
        <v>695</v>
      </c>
      <c r="AK293" s="3" t="s">
        <v>840</v>
      </c>
      <c r="AL293" s="3" t="s">
        <v>1007</v>
      </c>
      <c r="AM293" s="3" t="s">
        <v>1036</v>
      </c>
      <c r="AO293" s="3" t="s">
        <v>1037</v>
      </c>
      <c r="AP293" s="3" t="s">
        <v>996</v>
      </c>
      <c r="AQ293" s="3" t="s">
        <v>1010</v>
      </c>
      <c r="AR293" s="3" t="s">
        <v>706</v>
      </c>
      <c r="AS293" s="3" t="s">
        <v>699</v>
      </c>
      <c r="AT293" s="7" t="s">
        <v>645</v>
      </c>
      <c r="AU293" s="1" t="s">
        <v>695</v>
      </c>
      <c r="AV293" s="3" t="s">
        <v>1011</v>
      </c>
      <c r="AW293" s="3" t="s">
        <v>1012</v>
      </c>
    </row>
    <row r="294" spans="5:49" ht="15.75">
      <c r="E294" s="4">
        <v>11.3</v>
      </c>
      <c r="F294" s="4">
        <v>0.088</v>
      </c>
      <c r="G294" s="4">
        <v>4.3685</v>
      </c>
      <c r="H294" s="4">
        <v>0.8</v>
      </c>
      <c r="I294" s="35">
        <f>375+273</f>
        <v>648</v>
      </c>
      <c r="J294" s="4">
        <v>5.76</v>
      </c>
      <c r="K294" s="35">
        <f>W294*J294/(3600*E294)*I294/273</f>
        <v>13.779636292910629</v>
      </c>
      <c r="L294" s="35">
        <f>1.6256-0.045133*(I294-273)^0.5+0.4512*F294+0.093678*(I294-273)^0.5*F294+0.00045725*(I294-273)+1.5688*F294^2-0.12748*(I294-273)^0.5*F294^1.2</f>
        <v>1.0009548537426194</v>
      </c>
      <c r="M294" s="35">
        <f>G294*L294*K294^H294</f>
        <v>35.6563622807341</v>
      </c>
      <c r="N294" s="4">
        <v>10.1</v>
      </c>
      <c r="O294" s="4">
        <v>0.75</v>
      </c>
      <c r="P294" s="4">
        <v>18.774</v>
      </c>
      <c r="Q294" s="4">
        <v>0.6</v>
      </c>
      <c r="R294" s="35">
        <f>252+273</f>
        <v>525</v>
      </c>
      <c r="S294" s="4">
        <v>4.38</v>
      </c>
      <c r="T294" s="35">
        <f>W294*S294/(3600*N294)*R294/273</f>
        <v>9.497969027671997</v>
      </c>
      <c r="U294" s="35">
        <f>2.2357-0.72908*(R294-173)^0.1-0.0082964*(R294-173)^0.2</f>
        <v>0.8984189407398554</v>
      </c>
      <c r="V294" s="35">
        <f>P294*U294*T294^Q294</f>
        <v>65.10497286521439</v>
      </c>
      <c r="W294" s="4">
        <v>41000</v>
      </c>
      <c r="X294" s="35">
        <f>5420/6</f>
        <v>903.3333333333334</v>
      </c>
      <c r="Y294" s="35">
        <f>O294/(1/M294+1/V294)</f>
        <v>17.278997658652916</v>
      </c>
      <c r="Z294" s="35">
        <f>I294-R294</f>
        <v>123</v>
      </c>
      <c r="AA294" s="35">
        <f>Y294*X294*Z294/W294</f>
        <v>46.82608365494941</v>
      </c>
      <c r="AC294" s="35">
        <f>(I294+R294)/2</f>
        <v>586.5</v>
      </c>
      <c r="AD294" s="35">
        <f>AC294-273</f>
        <v>313.5</v>
      </c>
      <c r="AI294" s="4">
        <v>62</v>
      </c>
      <c r="AJ294" s="4">
        <v>0.02</v>
      </c>
      <c r="AK294" s="4">
        <v>0.994</v>
      </c>
      <c r="AL294" s="35">
        <f>AA294*AK294</f>
        <v>46.54512715301971</v>
      </c>
      <c r="AM294" s="35">
        <f>AI294+AL294/S294</f>
        <v>72.62674135913693</v>
      </c>
      <c r="AO294" s="35">
        <f>3.2584*AM294-0.00087946*AM294^2-0.56112*AM294*AJ294</f>
        <v>231.1930896767123</v>
      </c>
      <c r="AP294" s="35">
        <f>AO294+273</f>
        <v>504.1930896767123</v>
      </c>
      <c r="AQ294" s="4">
        <v>158.31523478790507</v>
      </c>
      <c r="AR294" s="4">
        <v>1.3859620991253643</v>
      </c>
      <c r="AS294" s="35">
        <f>J294</f>
        <v>5.76</v>
      </c>
      <c r="AT294" s="4">
        <v>0.06924498965487691</v>
      </c>
      <c r="AU294" s="4">
        <v>0.02</v>
      </c>
      <c r="AV294" s="35">
        <f>AQ294-AA294/AS294</f>
        <v>150.18570637558747</v>
      </c>
      <c r="AW294" s="35">
        <f>-17.5+3.51*AV294+38.864*AR294^-0.5-0.30038*AV294*AR294^-0.5+0.0044766*AV294^2-23.072/AR294-0.000058066*AV294^2/AR294-0.010324*AV294^1.9+IF(AV294&lt;200,1.6-1.87*AV294^0.3+0.2012*AR294-21.75*AU294+0.302*AV294^0.6,-0.19-0.0006295*AV294+0.7193*AR294^-0.4+41.38*AU294-0.4254*AV294*AR294^-0.4*AU294)</f>
        <v>445.79500720452137</v>
      </c>
    </row>
    <row r="297" ht="15">
      <c r="G297" s="1" t="s">
        <v>1041</v>
      </c>
    </row>
    <row r="298" spans="5:27" ht="15.75">
      <c r="E298" s="1" t="s">
        <v>1042</v>
      </c>
      <c r="F298" s="1" t="s">
        <v>1043</v>
      </c>
      <c r="R298" s="1" t="s">
        <v>1044</v>
      </c>
      <c r="S298" s="12" t="s">
        <v>1045</v>
      </c>
      <c r="T298" s="13"/>
      <c r="U298" s="13"/>
      <c r="V298" s="13"/>
      <c r="W298" s="1" t="s">
        <v>1046</v>
      </c>
      <c r="X298" s="12" t="s">
        <v>1047</v>
      </c>
      <c r="Y298" s="13"/>
      <c r="Z298" s="13"/>
      <c r="AA298" s="13"/>
    </row>
    <row r="299" spans="5:27" ht="15">
      <c r="E299" s="24" t="s">
        <v>835</v>
      </c>
      <c r="F299" s="24" t="s">
        <v>984</v>
      </c>
      <c r="G299" s="24" t="s">
        <v>997</v>
      </c>
      <c r="H299" s="24" t="s">
        <v>989</v>
      </c>
      <c r="I299" s="24" t="s">
        <v>990</v>
      </c>
      <c r="J299" s="24" t="s">
        <v>815</v>
      </c>
      <c r="K299" s="24" t="s">
        <v>988</v>
      </c>
      <c r="L299" s="24" t="s">
        <v>995</v>
      </c>
      <c r="M299" s="24" t="s">
        <v>1048</v>
      </c>
      <c r="N299" s="24" t="s">
        <v>102</v>
      </c>
      <c r="O299" s="24" t="s">
        <v>647</v>
      </c>
      <c r="P299" s="24" t="s">
        <v>699</v>
      </c>
      <c r="Q299" s="24" t="s">
        <v>985</v>
      </c>
      <c r="S299" s="24" t="s">
        <v>109</v>
      </c>
      <c r="T299" s="24" t="s">
        <v>840</v>
      </c>
      <c r="U299" s="24" t="s">
        <v>706</v>
      </c>
      <c r="V299" s="24" t="s">
        <v>695</v>
      </c>
      <c r="X299" s="24" t="s">
        <v>1011</v>
      </c>
      <c r="Y299" s="24" t="s">
        <v>1008</v>
      </c>
      <c r="Z299" s="24" t="s">
        <v>992</v>
      </c>
      <c r="AA299" s="24" t="s">
        <v>996</v>
      </c>
    </row>
    <row r="300" spans="5:27" ht="15">
      <c r="E300" s="4">
        <v>16000</v>
      </c>
      <c r="F300" s="4">
        <v>167914.56538212864</v>
      </c>
      <c r="G300" s="4">
        <v>160</v>
      </c>
      <c r="H300" s="4">
        <v>13.54</v>
      </c>
      <c r="I300" s="4">
        <v>0.64</v>
      </c>
      <c r="J300" s="4">
        <v>0.301</v>
      </c>
      <c r="K300" s="4">
        <v>30.4</v>
      </c>
      <c r="L300" s="4">
        <v>0.005</v>
      </c>
      <c r="M300" s="4">
        <v>1</v>
      </c>
      <c r="N300" s="4">
        <v>0.1755125933901146</v>
      </c>
      <c r="O300" s="4">
        <v>0.2500724145825649</v>
      </c>
      <c r="P300" s="4">
        <v>15.171710204081633</v>
      </c>
      <c r="Q300" s="4">
        <v>0.1171</v>
      </c>
      <c r="S300" s="4">
        <v>100</v>
      </c>
      <c r="T300" s="4">
        <v>0.994</v>
      </c>
      <c r="U300" s="4">
        <v>1.2766326530612244</v>
      </c>
      <c r="V300" s="4">
        <v>0.02</v>
      </c>
      <c r="X300" s="4">
        <v>405.7555202519123</v>
      </c>
      <c r="Y300" s="4">
        <v>750.6970644096336</v>
      </c>
      <c r="Z300" s="4">
        <v>1383.2984457605596</v>
      </c>
      <c r="AA300" s="4">
        <v>686.6987667000303</v>
      </c>
    </row>
    <row r="301" spans="28:58" ht="15.75">
      <c r="AB301" s="1" t="s">
        <v>1049</v>
      </c>
      <c r="AC301" s="12" t="s">
        <v>1050</v>
      </c>
      <c r="AD301" s="13"/>
      <c r="AE301" s="13"/>
      <c r="AF301" s="13"/>
      <c r="AI301" s="1" t="s">
        <v>987</v>
      </c>
      <c r="AW301" s="1" t="s">
        <v>1051</v>
      </c>
      <c r="BF301" s="1" t="s">
        <v>1009</v>
      </c>
    </row>
    <row r="302" spans="4:63" ht="15">
      <c r="D302" s="5" t="s">
        <v>1052</v>
      </c>
      <c r="E302" s="3" t="s">
        <v>835</v>
      </c>
      <c r="F302" s="3" t="s">
        <v>984</v>
      </c>
      <c r="G302" s="3" t="s">
        <v>997</v>
      </c>
      <c r="H302" s="3" t="s">
        <v>989</v>
      </c>
      <c r="I302" s="3" t="s">
        <v>990</v>
      </c>
      <c r="J302" s="3" t="s">
        <v>815</v>
      </c>
      <c r="K302" s="3" t="s">
        <v>988</v>
      </c>
      <c r="L302" s="3" t="s">
        <v>995</v>
      </c>
      <c r="M302" s="3" t="s">
        <v>1048</v>
      </c>
      <c r="N302" s="3" t="s">
        <v>102</v>
      </c>
      <c r="O302" s="3" t="s">
        <v>647</v>
      </c>
      <c r="P302" s="3" t="s">
        <v>699</v>
      </c>
      <c r="Q302" s="3" t="s">
        <v>985</v>
      </c>
      <c r="S302" s="3" t="s">
        <v>109</v>
      </c>
      <c r="T302" s="3" t="s">
        <v>840</v>
      </c>
      <c r="U302" s="3" t="s">
        <v>706</v>
      </c>
      <c r="V302" s="1" t="s">
        <v>695</v>
      </c>
      <c r="X302" s="3" t="s">
        <v>1011</v>
      </c>
      <c r="Y302" s="3" t="s">
        <v>1008</v>
      </c>
      <c r="Z302" s="3" t="s">
        <v>992</v>
      </c>
      <c r="AA302" s="3" t="s">
        <v>996</v>
      </c>
      <c r="AC302" s="24" t="s">
        <v>1011</v>
      </c>
      <c r="AD302" s="24" t="s">
        <v>1008</v>
      </c>
      <c r="AE302" s="24" t="s">
        <v>992</v>
      </c>
      <c r="AF302" s="24" t="s">
        <v>996</v>
      </c>
      <c r="AH302" s="3" t="s">
        <v>1003</v>
      </c>
      <c r="AI302" s="3" t="s">
        <v>991</v>
      </c>
      <c r="AJ302" s="3" t="s">
        <v>1053</v>
      </c>
      <c r="AK302" s="3" t="s">
        <v>209</v>
      </c>
      <c r="AL302" s="3" t="s">
        <v>206</v>
      </c>
      <c r="AM302" s="3" t="s">
        <v>993</v>
      </c>
      <c r="AN302" s="3" t="s">
        <v>994</v>
      </c>
      <c r="AO302" s="3" t="s">
        <v>820</v>
      </c>
      <c r="AP302" s="3" t="s">
        <v>998</v>
      </c>
      <c r="AQ302" s="3" t="s">
        <v>999</v>
      </c>
      <c r="AR302" s="3" t="s">
        <v>1000</v>
      </c>
      <c r="AS302" s="3" t="s">
        <v>1001</v>
      </c>
      <c r="AT302" s="3" t="s">
        <v>1002</v>
      </c>
      <c r="AU302" s="3" t="s">
        <v>1004</v>
      </c>
      <c r="AW302" s="3" t="s">
        <v>109</v>
      </c>
      <c r="AX302" s="3" t="s">
        <v>840</v>
      </c>
      <c r="AY302" s="3" t="s">
        <v>1006</v>
      </c>
      <c r="AZ302" s="3" t="s">
        <v>1007</v>
      </c>
      <c r="BA302" s="3" t="s">
        <v>1008</v>
      </c>
      <c r="BB302" s="3" t="s">
        <v>865</v>
      </c>
      <c r="BC302" s="3" t="s">
        <v>544</v>
      </c>
      <c r="BD302" s="3" t="s">
        <v>996</v>
      </c>
      <c r="BF302" s="3" t="s">
        <v>706</v>
      </c>
      <c r="BG302" s="1" t="s">
        <v>695</v>
      </c>
      <c r="BH302" s="3" t="s">
        <v>699</v>
      </c>
      <c r="BI302" s="3" t="s">
        <v>1010</v>
      </c>
      <c r="BJ302" s="3" t="s">
        <v>1011</v>
      </c>
      <c r="BK302" s="3" t="s">
        <v>1012</v>
      </c>
    </row>
    <row r="303" spans="4:63" ht="15.75">
      <c r="D303" s="4">
        <v>1</v>
      </c>
      <c r="E303" s="35">
        <f aca="true" t="shared" si="0" ref="E303:Q303">E300</f>
        <v>16000</v>
      </c>
      <c r="F303" s="35">
        <f t="shared" si="0"/>
        <v>167914.56538212864</v>
      </c>
      <c r="G303" s="35">
        <f t="shared" si="0"/>
        <v>160</v>
      </c>
      <c r="H303" s="35">
        <f t="shared" si="0"/>
        <v>13.54</v>
      </c>
      <c r="I303" s="35">
        <f t="shared" si="0"/>
        <v>0.64</v>
      </c>
      <c r="J303" s="35">
        <f t="shared" si="0"/>
        <v>0.301</v>
      </c>
      <c r="K303" s="35">
        <f t="shared" si="0"/>
        <v>30.4</v>
      </c>
      <c r="L303" s="35">
        <f t="shared" si="0"/>
        <v>0.005</v>
      </c>
      <c r="M303" s="35">
        <f t="shared" si="0"/>
        <v>1</v>
      </c>
      <c r="N303" s="35">
        <f t="shared" si="0"/>
        <v>0.1755125933901146</v>
      </c>
      <c r="O303" s="35">
        <f t="shared" si="0"/>
        <v>0.2500724145825649</v>
      </c>
      <c r="P303" s="35">
        <f t="shared" si="0"/>
        <v>15.171710204081633</v>
      </c>
      <c r="Q303" s="35">
        <f t="shared" si="0"/>
        <v>0.1171</v>
      </c>
      <c r="S303" s="35">
        <f>S300</f>
        <v>100</v>
      </c>
      <c r="T303" s="35">
        <f>T300</f>
        <v>0.994</v>
      </c>
      <c r="U303" s="35">
        <f>U300</f>
        <v>1.2766326530612244</v>
      </c>
      <c r="V303" s="35">
        <f>V300</f>
        <v>0.02</v>
      </c>
      <c r="X303" s="35">
        <f>X300</f>
        <v>405.7555202519123</v>
      </c>
      <c r="Y303" s="35">
        <f>Y300</f>
        <v>750.6970644096336</v>
      </c>
      <c r="Z303" s="35">
        <f>Z300</f>
        <v>1383.2984457605596</v>
      </c>
      <c r="AA303" s="35">
        <f>AA300</f>
        <v>686.6987667000303</v>
      </c>
      <c r="AC303" s="35">
        <f>BJ303</f>
        <v>376.1093954243326</v>
      </c>
      <c r="AD303" s="35">
        <f>BA303</f>
        <v>793.2981306414548</v>
      </c>
      <c r="AE303" s="35">
        <f>BK303+273</f>
        <v>1309.8154060583195</v>
      </c>
      <c r="AF303" s="35">
        <f>BD303</f>
        <v>751.7595600402046</v>
      </c>
      <c r="AH303" s="35">
        <f>Z303-AA303</f>
        <v>696.5996790605293</v>
      </c>
      <c r="AI303" s="35">
        <f>AA303+(L303+1/AN303)*AU303*E303/G303</f>
        <v>936.9631528277625</v>
      </c>
      <c r="AJ303" s="35">
        <f>Z303-273</f>
        <v>1110.2984457605596</v>
      </c>
      <c r="AK303" s="35">
        <f>E303*P303/(3600*K303)*(AJ303+273)/273</f>
        <v>11.239103712719697</v>
      </c>
      <c r="AL303" s="35">
        <f>1.1077-0.002944*AJ303^0.7+0.67936*N303+0.0050854*AJ303^0.7*N303+0.0000089737*AJ303^1.4-2.4659*N303^2-0.000046377*AJ303^1.4*N303^2+23.168*AJ303^-0.1*N303^4</f>
        <v>1.0224372487840918</v>
      </c>
      <c r="AM303" s="35">
        <f>H303*AL303*AK303^I303</f>
        <v>65.12138099696679</v>
      </c>
      <c r="AN303" s="35">
        <f>Q303*F303^0.8</f>
        <v>1772.6687587714298</v>
      </c>
      <c r="AO303" s="35">
        <f>((0.78+1.6*N303)/(M303*O303*J303)^0.5-0.1)*(1-0.37*Z303/1000)</f>
        <v>1.8387614192872643</v>
      </c>
      <c r="AP303" s="35">
        <f>AO303*O303</f>
        <v>0.4598235079624302</v>
      </c>
      <c r="AQ303" s="35">
        <f>1-EXP(-AP303*M303*J303)</f>
        <v>0.12925566522096965</v>
      </c>
      <c r="AR303" s="35">
        <f>0.000000049*(0.82+1)/2*AQ303*Z303^3*(1-(AI303/Z303)^3.6)/(1-AI303/Z303)</f>
        <v>35.65093561788588</v>
      </c>
      <c r="AS303" s="35">
        <f>AM303+AR303</f>
        <v>100.77231661485267</v>
      </c>
      <c r="AT303" s="35">
        <f>1/(1/AS303+L303+1/AN303)</f>
        <v>64.56827760309459</v>
      </c>
      <c r="AU303" s="35">
        <f>AT303*G303*AH303/E303</f>
        <v>449.7824145580685</v>
      </c>
      <c r="AW303" s="35">
        <f aca="true" t="shared" si="1" ref="AW303:AX307">S303</f>
        <v>100</v>
      </c>
      <c r="AX303" s="35">
        <f t="shared" si="1"/>
        <v>0.994</v>
      </c>
      <c r="AY303" s="35">
        <f>Y303</f>
        <v>750.6970644096336</v>
      </c>
      <c r="AZ303" s="35">
        <f>AU303*AX303</f>
        <v>447.0837200707201</v>
      </c>
      <c r="BA303" s="35">
        <f>AY303+AZ303*E303/F303</f>
        <v>793.2981306414548</v>
      </c>
      <c r="BB303" s="35">
        <f>193.897+1.6984*AW303-0.0066353*AW303^2+0.0000121825*AW303^3</f>
        <v>309.56649999999996</v>
      </c>
      <c r="BC303" s="35">
        <f>3074.3-3.1077*AW303-2.3864*10^7*BA303^-1.3+22437.3*AW303*BA303^-1.3+0.0041697*AW303^2+4.8476*10^10*BA303^-2.6-177649*AW303^2*BA303^-2.6</f>
        <v>478.7595600402046</v>
      </c>
      <c r="BD303" s="35">
        <f>BC303+273</f>
        <v>751.7595600402046</v>
      </c>
      <c r="BF303" s="35">
        <f aca="true" t="shared" si="2" ref="BF303:BG307">U303</f>
        <v>1.2766326530612244</v>
      </c>
      <c r="BG303" s="35">
        <f t="shared" si="2"/>
        <v>0.02</v>
      </c>
      <c r="BH303" s="35">
        <f>P303</f>
        <v>15.171710204081633</v>
      </c>
      <c r="BI303" s="35">
        <f>X303</f>
        <v>405.7555202519123</v>
      </c>
      <c r="BJ303" s="35">
        <f>BI303-AU303/BH303</f>
        <v>376.1093954243326</v>
      </c>
      <c r="BK303" s="35">
        <f>-17.5+3.51*BJ303+38.864*BF303^-0.5-0.30038*BJ303*BF303^-0.5+0.0044766*BJ303^2-23.072/BF303-0.000058066*BJ303^2/BF303-0.010324*BJ303^1.9+IF(BJ303&lt;200,1.6-1.87*BJ303^0.3+0.2012*BF303-21.75*BG303+0.302*BJ303^0.6,-0.19-0.0006295*BJ303+0.7193*BF303^-0.4+41.38*BG303-0.4254*BJ303*BF303^-0.4*BG303)</f>
        <v>1036.8154060583195</v>
      </c>
    </row>
    <row r="304" spans="4:63" ht="15.75">
      <c r="D304" s="4">
        <v>2</v>
      </c>
      <c r="E304" s="35">
        <f aca="true" t="shared" si="3" ref="E304:Q307">E303</f>
        <v>16000</v>
      </c>
      <c r="F304" s="35">
        <f t="shared" si="3"/>
        <v>167914.56538212864</v>
      </c>
      <c r="G304" s="35">
        <f t="shared" si="3"/>
        <v>160</v>
      </c>
      <c r="H304" s="35">
        <f t="shared" si="3"/>
        <v>13.54</v>
      </c>
      <c r="I304" s="35">
        <f t="shared" si="3"/>
        <v>0.64</v>
      </c>
      <c r="J304" s="35">
        <f t="shared" si="3"/>
        <v>0.301</v>
      </c>
      <c r="K304" s="35">
        <f t="shared" si="3"/>
        <v>30.4</v>
      </c>
      <c r="L304" s="35">
        <f t="shared" si="3"/>
        <v>0.005</v>
      </c>
      <c r="M304" s="35">
        <f t="shared" si="3"/>
        <v>1</v>
      </c>
      <c r="N304" s="35">
        <f t="shared" si="3"/>
        <v>0.1755125933901146</v>
      </c>
      <c r="O304" s="35">
        <f t="shared" si="3"/>
        <v>0.2500724145825649</v>
      </c>
      <c r="P304" s="35">
        <f t="shared" si="3"/>
        <v>15.171710204081633</v>
      </c>
      <c r="Q304" s="35">
        <f t="shared" si="3"/>
        <v>0.1171</v>
      </c>
      <c r="S304" s="35">
        <f aca="true" t="shared" si="4" ref="S304:V307">S303</f>
        <v>100</v>
      </c>
      <c r="T304" s="35">
        <f t="shared" si="4"/>
        <v>0.994</v>
      </c>
      <c r="U304" s="35">
        <f t="shared" si="4"/>
        <v>1.2766326530612244</v>
      </c>
      <c r="V304" s="35">
        <f t="shared" si="4"/>
        <v>0.02</v>
      </c>
      <c r="X304" s="35">
        <f aca="true" t="shared" si="5" ref="X304:AA307">AC303</f>
        <v>376.1093954243326</v>
      </c>
      <c r="Y304" s="35">
        <f t="shared" si="5"/>
        <v>793.2981306414548</v>
      </c>
      <c r="Z304" s="35">
        <f t="shared" si="5"/>
        <v>1309.8154060583195</v>
      </c>
      <c r="AA304" s="35">
        <f t="shared" si="5"/>
        <v>751.7595600402046</v>
      </c>
      <c r="AC304" s="35">
        <f>BJ304</f>
        <v>352.9691635006757</v>
      </c>
      <c r="AD304" s="35">
        <f>BA304</f>
        <v>826.5503198747109</v>
      </c>
      <c r="AE304" s="35">
        <f>BK304+273</f>
        <v>1251.9150792256785</v>
      </c>
      <c r="AF304" s="35">
        <f>BD304</f>
        <v>806.0964617862411</v>
      </c>
      <c r="AH304" s="35">
        <f>Z304-AA304</f>
        <v>558.0558460181148</v>
      </c>
      <c r="AI304" s="35">
        <f>AA304+(L304+1/AN304)*AU304*E304/G304</f>
        <v>947.1029977039308</v>
      </c>
      <c r="AJ304" s="35">
        <f>Z304-273</f>
        <v>1036.8154060583195</v>
      </c>
      <c r="AK304" s="35">
        <f>E304*P304/(3600*K304)*(AJ304+273)/273</f>
        <v>10.642064435425278</v>
      </c>
      <c r="AL304" s="35">
        <f>1.1077-0.002944*AJ304^0.7+0.67936*N304+0.0050854*AJ304^0.7*N304+0.0000089737*AJ304^1.4-2.4659*N304^2-0.000046377*AJ304^1.4*N304^2+23.168*AJ304^-0.1*N304^4</f>
        <v>1.0228620358691054</v>
      </c>
      <c r="AM304" s="35">
        <f>H304*AL304*AK304^I304</f>
        <v>62.91182590779758</v>
      </c>
      <c r="AN304" s="35">
        <f>Q304*F304^0.8</f>
        <v>1772.6687587714298</v>
      </c>
      <c r="AO304" s="35">
        <f>((0.78+1.6*N304)/(M304*O304*J304)^0.5-0.1)*(1-0.37*Z304/1000)</f>
        <v>1.9411695915100695</v>
      </c>
      <c r="AP304" s="35">
        <f>AO304*O304</f>
        <v>0.4854329668631743</v>
      </c>
      <c r="AQ304" s="35">
        <f>1-EXP(-AP304*M304*J304)</f>
        <v>0.1359419483503015</v>
      </c>
      <c r="AR304" s="35">
        <f>0.000000049*(0.82+1)/2*AQ304*Z304^3*(1-(AI304/Z304)^3.6)/(1-AI304/Z304)</f>
        <v>33.88025639062255</v>
      </c>
      <c r="AS304" s="35">
        <f>AM304+AR304</f>
        <v>96.79208229842013</v>
      </c>
      <c r="AT304" s="35">
        <f>1/(1/AS304+L304+1/AN304)</f>
        <v>62.910709619116766</v>
      </c>
      <c r="AU304" s="35">
        <f>AT304*G304*AH304/E304</f>
        <v>351.0768928009616</v>
      </c>
      <c r="AW304" s="35">
        <f t="shared" si="1"/>
        <v>100</v>
      </c>
      <c r="AX304" s="35">
        <f t="shared" si="1"/>
        <v>0.994</v>
      </c>
      <c r="AY304" s="35">
        <f>Y304</f>
        <v>793.2981306414548</v>
      </c>
      <c r="AZ304" s="35">
        <f>AU304*AX304</f>
        <v>348.97043144415585</v>
      </c>
      <c r="BA304" s="35">
        <f>AY304+AZ304*E304/F304</f>
        <v>826.5503198747109</v>
      </c>
      <c r="BB304" s="35">
        <f>193.897+1.6984*AW304-0.0066353*AW304^2+0.0000121825*AW304^3</f>
        <v>309.56649999999996</v>
      </c>
      <c r="BC304" s="35">
        <f>3074.3-3.1077*AW304-2.3864*10^7*BA304^-1.3+22437.3*AW304*BA304^-1.3+0.0041697*AW304^2+4.8476*10^10*BA304^-2.6-177649*AW304^2*BA304^-2.6</f>
        <v>533.0964617862411</v>
      </c>
      <c r="BD304" s="35">
        <f>BC304+273</f>
        <v>806.0964617862411</v>
      </c>
      <c r="BF304" s="35">
        <f t="shared" si="2"/>
        <v>1.2766326530612244</v>
      </c>
      <c r="BG304" s="35">
        <f t="shared" si="2"/>
        <v>0.02</v>
      </c>
      <c r="BH304" s="35">
        <f>P304</f>
        <v>15.171710204081633</v>
      </c>
      <c r="BI304" s="35">
        <f>X304</f>
        <v>376.1093954243326</v>
      </c>
      <c r="BJ304" s="35">
        <f>BI304-AU304/BH304</f>
        <v>352.9691635006757</v>
      </c>
      <c r="BK304" s="35">
        <f>-17.5+3.51*BJ304+38.864*BF304^-0.5-0.30038*BJ304*BF304^-0.5+0.0044766*BJ304^2-23.072/BF304-0.000058066*BJ304^2/BF304-0.010324*BJ304^1.9+IF(BJ304&lt;200,1.6-1.87*BJ304^0.3+0.2012*BF304-21.75*BG304+0.302*BJ304^0.6,-0.19-0.0006295*BJ304+0.7193*BF304^-0.4+41.38*BG304-0.4254*BJ304*BF304^-0.4*BG304)</f>
        <v>978.9150792256785</v>
      </c>
    </row>
    <row r="305" spans="4:63" ht="15.75">
      <c r="D305" s="4">
        <v>3</v>
      </c>
      <c r="E305" s="35">
        <f t="shared" si="3"/>
        <v>16000</v>
      </c>
      <c r="F305" s="35">
        <f t="shared" si="3"/>
        <v>167914.56538212864</v>
      </c>
      <c r="G305" s="35">
        <f t="shared" si="3"/>
        <v>160</v>
      </c>
      <c r="H305" s="35">
        <f t="shared" si="3"/>
        <v>13.54</v>
      </c>
      <c r="I305" s="35">
        <f t="shared" si="3"/>
        <v>0.64</v>
      </c>
      <c r="J305" s="35">
        <f t="shared" si="3"/>
        <v>0.301</v>
      </c>
      <c r="K305" s="35">
        <f t="shared" si="3"/>
        <v>30.4</v>
      </c>
      <c r="L305" s="35">
        <f t="shared" si="3"/>
        <v>0.005</v>
      </c>
      <c r="M305" s="35">
        <f t="shared" si="3"/>
        <v>1</v>
      </c>
      <c r="N305" s="35">
        <f t="shared" si="3"/>
        <v>0.1755125933901146</v>
      </c>
      <c r="O305" s="35">
        <f t="shared" si="3"/>
        <v>0.2500724145825649</v>
      </c>
      <c r="P305" s="35">
        <f t="shared" si="3"/>
        <v>15.171710204081633</v>
      </c>
      <c r="Q305" s="35">
        <f t="shared" si="3"/>
        <v>0.1171</v>
      </c>
      <c r="S305" s="35">
        <f t="shared" si="4"/>
        <v>100</v>
      </c>
      <c r="T305" s="35">
        <f t="shared" si="4"/>
        <v>0.994</v>
      </c>
      <c r="U305" s="35">
        <f t="shared" si="4"/>
        <v>1.2766326530612244</v>
      </c>
      <c r="V305" s="35">
        <f t="shared" si="4"/>
        <v>0.02</v>
      </c>
      <c r="X305" s="35">
        <f t="shared" si="5"/>
        <v>352.9691635006757</v>
      </c>
      <c r="Y305" s="35">
        <f t="shared" si="5"/>
        <v>826.5503198747109</v>
      </c>
      <c r="Z305" s="35">
        <f t="shared" si="5"/>
        <v>1251.9150792256785</v>
      </c>
      <c r="AA305" s="35">
        <f t="shared" si="5"/>
        <v>806.0964617862411</v>
      </c>
      <c r="AC305" s="35">
        <f>BJ305</f>
        <v>334.867472421528</v>
      </c>
      <c r="AD305" s="35">
        <f>BA305</f>
        <v>852.5621964709173</v>
      </c>
      <c r="AE305" s="35">
        <f>BK305+273</f>
        <v>1206.266398460669</v>
      </c>
      <c r="AF305" s="35">
        <f>BD305</f>
        <v>849.7437242848117</v>
      </c>
      <c r="AH305" s="35">
        <f>Z305-AA305</f>
        <v>445.8186174394374</v>
      </c>
      <c r="AI305" s="35">
        <f>AA305+(L305+1/AN305)*AU305*E305/G305</f>
        <v>958.9059312242939</v>
      </c>
      <c r="AJ305" s="35">
        <f>Z305-273</f>
        <v>978.9150792256785</v>
      </c>
      <c r="AK305" s="35">
        <f>E305*P305/(3600*K305)*(AJ305+273)/273</f>
        <v>10.171632490484699</v>
      </c>
      <c r="AL305" s="35">
        <f>1.1077-0.002944*AJ305^0.7+0.67936*N305+0.0050854*AJ305^0.7*N305+0.0000089737*AJ305^1.4-2.4659*N305^2-0.000046377*AJ305^1.4*N305^2+23.168*AJ305^-0.1*N305^4</f>
        <v>1.0236452915696177</v>
      </c>
      <c r="AM305" s="35">
        <f>H305*AL305*AK305^I305</f>
        <v>61.16432399395612</v>
      </c>
      <c r="AN305" s="35">
        <f>Q305*F305^0.8</f>
        <v>1772.6687587714298</v>
      </c>
      <c r="AO305" s="35">
        <f>((0.78+1.6*N305)/(M305*O305*J305)^0.5-0.1)*(1-0.37*Z305/1000)</f>
        <v>2.021861226832459</v>
      </c>
      <c r="AP305" s="35">
        <f>AO305*O305</f>
        <v>0.50561171894486</v>
      </c>
      <c r="AQ305" s="35">
        <f>1-EXP(-AP305*M305*J305)</f>
        <v>0.14117416211942524</v>
      </c>
      <c r="AR305" s="35">
        <f>0.000000049*(0.82+1)/2*AQ305*Z305^3*(1-(AI305/Z305)^3.6)/(1-AI305/Z305)</f>
        <v>32.564357560839746</v>
      </c>
      <c r="AS305" s="35">
        <f>AM305+AR305</f>
        <v>93.72868155479586</v>
      </c>
      <c r="AT305" s="35">
        <f>1/(1/AS305+L305+1/AN305)</f>
        <v>61.60209567603938</v>
      </c>
      <c r="AU305" s="35">
        <f>AT305*G305*AH305/E305</f>
        <v>274.6336112566382</v>
      </c>
      <c r="AW305" s="35">
        <f t="shared" si="1"/>
        <v>100</v>
      </c>
      <c r="AX305" s="35">
        <f t="shared" si="1"/>
        <v>0.994</v>
      </c>
      <c r="AY305" s="35">
        <f>Y305</f>
        <v>826.5503198747109</v>
      </c>
      <c r="AZ305" s="35">
        <f>AU305*AX305</f>
        <v>272.9858095890983</v>
      </c>
      <c r="BA305" s="35">
        <f>AY305+AZ305*E305/F305</f>
        <v>852.5621964709173</v>
      </c>
      <c r="BB305" s="35">
        <f>193.897+1.6984*AW305-0.0066353*AW305^2+0.0000121825*AW305^3</f>
        <v>309.56649999999996</v>
      </c>
      <c r="BC305" s="35">
        <f>3074.3-3.1077*AW305-2.3864*10^7*BA305^-1.3+22437.3*AW305*BA305^-1.3+0.0041697*AW305^2+4.8476*10^10*BA305^-2.6-177649*AW305^2*BA305^-2.6</f>
        <v>576.7437242848117</v>
      </c>
      <c r="BD305" s="35">
        <f>BC305+273</f>
        <v>849.7437242848117</v>
      </c>
      <c r="BF305" s="35">
        <f t="shared" si="2"/>
        <v>1.2766326530612244</v>
      </c>
      <c r="BG305" s="35">
        <f t="shared" si="2"/>
        <v>0.02</v>
      </c>
      <c r="BH305" s="35">
        <f>P305</f>
        <v>15.171710204081633</v>
      </c>
      <c r="BI305" s="35">
        <f>X305</f>
        <v>352.9691635006757</v>
      </c>
      <c r="BJ305" s="35">
        <f>BI305-AU305/BH305</f>
        <v>334.867472421528</v>
      </c>
      <c r="BK305" s="35">
        <f>-17.5+3.51*BJ305+38.864*BF305^-0.5-0.30038*BJ305*BF305^-0.5+0.0044766*BJ305^2-23.072/BF305-0.000058066*BJ305^2/BF305-0.010324*BJ305^1.9+IF(BJ305&lt;200,1.6-1.87*BJ305^0.3+0.2012*BF305-21.75*BG305+0.302*BJ305^0.6,-0.19-0.0006295*BJ305+0.7193*BF305^-0.4+41.38*BG305-0.4254*BJ305*BF305^-0.4*BG305)</f>
        <v>933.266398460669</v>
      </c>
    </row>
    <row r="306" spans="4:63" ht="15.75">
      <c r="D306" s="4">
        <v>4</v>
      </c>
      <c r="E306" s="35">
        <f t="shared" si="3"/>
        <v>16000</v>
      </c>
      <c r="F306" s="35">
        <f t="shared" si="3"/>
        <v>167914.56538212864</v>
      </c>
      <c r="G306" s="35">
        <f t="shared" si="3"/>
        <v>160</v>
      </c>
      <c r="H306" s="35">
        <f t="shared" si="3"/>
        <v>13.54</v>
      </c>
      <c r="I306" s="35">
        <f t="shared" si="3"/>
        <v>0.64</v>
      </c>
      <c r="J306" s="35">
        <f t="shared" si="3"/>
        <v>0.301</v>
      </c>
      <c r="K306" s="35">
        <f t="shared" si="3"/>
        <v>30.4</v>
      </c>
      <c r="L306" s="35">
        <f t="shared" si="3"/>
        <v>0.005</v>
      </c>
      <c r="M306" s="35">
        <f t="shared" si="3"/>
        <v>1</v>
      </c>
      <c r="N306" s="35">
        <f t="shared" si="3"/>
        <v>0.1755125933901146</v>
      </c>
      <c r="O306" s="35">
        <f t="shared" si="3"/>
        <v>0.2500724145825649</v>
      </c>
      <c r="P306" s="35">
        <f t="shared" si="3"/>
        <v>15.171710204081633</v>
      </c>
      <c r="Q306" s="35">
        <f t="shared" si="3"/>
        <v>0.1171</v>
      </c>
      <c r="S306" s="35">
        <f t="shared" si="4"/>
        <v>100</v>
      </c>
      <c r="T306" s="35">
        <f t="shared" si="4"/>
        <v>0.994</v>
      </c>
      <c r="U306" s="35">
        <f t="shared" si="4"/>
        <v>1.2766326530612244</v>
      </c>
      <c r="V306" s="35">
        <f t="shared" si="4"/>
        <v>0.02</v>
      </c>
      <c r="X306" s="35">
        <f t="shared" si="5"/>
        <v>334.867472421528</v>
      </c>
      <c r="Y306" s="35">
        <f t="shared" si="5"/>
        <v>852.5621964709173</v>
      </c>
      <c r="Z306" s="35">
        <f t="shared" si="5"/>
        <v>1206.266398460669</v>
      </c>
      <c r="AA306" s="35">
        <f t="shared" si="5"/>
        <v>849.7437242848117</v>
      </c>
      <c r="AC306" s="35">
        <f>BJ306</f>
        <v>320.63582136321463</v>
      </c>
      <c r="AD306" s="35">
        <f>BA306</f>
        <v>873.0128797507554</v>
      </c>
      <c r="AE306" s="35">
        <f>BK306+273</f>
        <v>1170.1459014215777</v>
      </c>
      <c r="AF306" s="35">
        <f>BD306</f>
        <v>884.3968024823072</v>
      </c>
      <c r="AH306" s="35">
        <f>Z306-AA306</f>
        <v>356.52267417585733</v>
      </c>
      <c r="AI306" s="35">
        <f>AA306+(L306+1/AN306)*AU306*E306/G306</f>
        <v>969.8833862611209</v>
      </c>
      <c r="AJ306" s="35">
        <f>Z306-273</f>
        <v>933.266398460669</v>
      </c>
      <c r="AK306" s="35">
        <f>E306*P306/(3600*K306)*(AJ306+273)/273</f>
        <v>9.800743432494983</v>
      </c>
      <c r="AL306" s="35">
        <f>1.1077-0.002944*AJ306^0.7+0.67936*N306+0.0050854*AJ306^0.7*N306+0.0000089737*AJ306^1.4-2.4659*N306^2-0.000046377*AJ306^1.4*N306^2+23.168*AJ306^-0.1*N306^4</f>
        <v>1.024556887953822</v>
      </c>
      <c r="AM306" s="35">
        <f>H306*AL306*AK306^I306</f>
        <v>59.780633731019044</v>
      </c>
      <c r="AN306" s="35">
        <f>Q306*F306^0.8</f>
        <v>1772.6687587714298</v>
      </c>
      <c r="AO306" s="35">
        <f>((0.78+1.6*N306)/(M306*O306*J306)^0.5-0.1)*(1-0.37*Z306/1000)</f>
        <v>2.0854786000449668</v>
      </c>
      <c r="AP306" s="35">
        <f>AO306*O306</f>
        <v>0.521520669073512</v>
      </c>
      <c r="AQ306" s="35">
        <f>1-EXP(-AP306*M306*J306)</f>
        <v>0.14527689935277455</v>
      </c>
      <c r="AR306" s="35">
        <f>0.000000049*(0.82+1)/2*AQ306*Z306^3*(1-(AI306/Z306)^3.6)/(1-AI306/Z306)</f>
        <v>31.56200699989348</v>
      </c>
      <c r="AS306" s="35">
        <f>AM306+AR306</f>
        <v>91.34264073091252</v>
      </c>
      <c r="AT306" s="35">
        <f>1/(1/AS306+L306+1/AN306)</f>
        <v>60.56234321743001</v>
      </c>
      <c r="AU306" s="35">
        <f>AT306*G306*AH306/E306</f>
        <v>215.91848558234244</v>
      </c>
      <c r="AW306" s="35">
        <f t="shared" si="1"/>
        <v>100</v>
      </c>
      <c r="AX306" s="35">
        <f t="shared" si="1"/>
        <v>0.994</v>
      </c>
      <c r="AY306" s="35">
        <f>Y306</f>
        <v>852.5621964709173</v>
      </c>
      <c r="AZ306" s="35">
        <f>AU306*AX306</f>
        <v>214.62297466884837</v>
      </c>
      <c r="BA306" s="35">
        <f>AY306+AZ306*E306/F306</f>
        <v>873.0128797507554</v>
      </c>
      <c r="BB306" s="35">
        <f>193.897+1.6984*AW306-0.0066353*AW306^2+0.0000121825*AW306^3</f>
        <v>309.56649999999996</v>
      </c>
      <c r="BC306" s="35">
        <f>3074.3-3.1077*AW306-2.3864*10^7*BA306^-1.3+22437.3*AW306*BA306^-1.3+0.0041697*AW306^2+4.8476*10^10*BA306^-2.6-177649*AW306^2*BA306^-2.6</f>
        <v>611.3968024823072</v>
      </c>
      <c r="BD306" s="35">
        <f>BC306+273</f>
        <v>884.3968024823072</v>
      </c>
      <c r="BF306" s="35">
        <f t="shared" si="2"/>
        <v>1.2766326530612244</v>
      </c>
      <c r="BG306" s="35">
        <f t="shared" si="2"/>
        <v>0.02</v>
      </c>
      <c r="BH306" s="35">
        <f>P306</f>
        <v>15.171710204081633</v>
      </c>
      <c r="BI306" s="35">
        <f>X306</f>
        <v>334.867472421528</v>
      </c>
      <c r="BJ306" s="35">
        <f>BI306-AU306/BH306</f>
        <v>320.63582136321463</v>
      </c>
      <c r="BK306" s="35">
        <f>-17.5+3.51*BJ306+38.864*BF306^-0.5-0.30038*BJ306*BF306^-0.5+0.0044766*BJ306^2-23.072/BF306-0.000058066*BJ306^2/BF306-0.010324*BJ306^1.9+IF(BJ306&lt;200,1.6-1.87*BJ306^0.3+0.2012*BF306-21.75*BG306+0.302*BJ306^0.6,-0.19-0.0006295*BJ306+0.7193*BF306^-0.4+41.38*BG306-0.4254*BJ306*BF306^-0.4*BG306)</f>
        <v>897.1459014215777</v>
      </c>
    </row>
    <row r="307" spans="4:63" ht="15.75">
      <c r="D307" s="4">
        <v>5</v>
      </c>
      <c r="E307" s="35">
        <f t="shared" si="3"/>
        <v>16000</v>
      </c>
      <c r="F307" s="35">
        <f t="shared" si="3"/>
        <v>167914.56538212864</v>
      </c>
      <c r="G307" s="35">
        <f t="shared" si="3"/>
        <v>160</v>
      </c>
      <c r="H307" s="35">
        <f t="shared" si="3"/>
        <v>13.54</v>
      </c>
      <c r="I307" s="35">
        <f t="shared" si="3"/>
        <v>0.64</v>
      </c>
      <c r="J307" s="35">
        <f t="shared" si="3"/>
        <v>0.301</v>
      </c>
      <c r="K307" s="35">
        <f t="shared" si="3"/>
        <v>30.4</v>
      </c>
      <c r="L307" s="35">
        <f t="shared" si="3"/>
        <v>0.005</v>
      </c>
      <c r="M307" s="35">
        <f t="shared" si="3"/>
        <v>1</v>
      </c>
      <c r="N307" s="35">
        <f t="shared" si="3"/>
        <v>0.1755125933901146</v>
      </c>
      <c r="O307" s="35">
        <f t="shared" si="3"/>
        <v>0.2500724145825649</v>
      </c>
      <c r="P307" s="35">
        <f t="shared" si="3"/>
        <v>15.171710204081633</v>
      </c>
      <c r="Q307" s="35">
        <f t="shared" si="3"/>
        <v>0.1171</v>
      </c>
      <c r="S307" s="35">
        <f t="shared" si="4"/>
        <v>100</v>
      </c>
      <c r="T307" s="35">
        <f t="shared" si="4"/>
        <v>0.994</v>
      </c>
      <c r="U307" s="35">
        <f t="shared" si="4"/>
        <v>1.2766326530612244</v>
      </c>
      <c r="V307" s="35">
        <f t="shared" si="4"/>
        <v>0.02</v>
      </c>
      <c r="X307" s="35">
        <f t="shared" si="5"/>
        <v>320.63582136321463</v>
      </c>
      <c r="Y307" s="35">
        <f t="shared" si="5"/>
        <v>873.0128797507554</v>
      </c>
      <c r="Z307" s="35">
        <f t="shared" si="5"/>
        <v>1170.1459014215777</v>
      </c>
      <c r="AA307" s="35">
        <f t="shared" si="5"/>
        <v>884.3968024823072</v>
      </c>
      <c r="AC307" s="35">
        <f>BJ307</f>
        <v>309.3856326710379</v>
      </c>
      <c r="AD307" s="35">
        <f>BA307</f>
        <v>889.1792433609512</v>
      </c>
      <c r="AE307" s="35">
        <f>BK307+273</f>
        <v>1141.4421554659343</v>
      </c>
      <c r="AF307" s="35">
        <f>BD307</f>
        <v>911.859320726962</v>
      </c>
      <c r="AH307" s="35">
        <f>Z307-AA307</f>
        <v>285.74909893927054</v>
      </c>
      <c r="AI307" s="35">
        <f>AA307+(L307+1/AN307)*AU307*E307/G307</f>
        <v>979.3677837907817</v>
      </c>
      <c r="AJ307" s="35">
        <f>Z307-273</f>
        <v>897.1459014215777</v>
      </c>
      <c r="AK307" s="35">
        <f>E307*P307/(3600*K307)*(AJ307+273)/273</f>
        <v>9.507269516131165</v>
      </c>
      <c r="AL307" s="35">
        <f>1.1077-0.002944*AJ307^0.7+0.67936*N307+0.0050854*AJ307^0.7*N307+0.0000089737*AJ307^1.4-2.4659*N307^2-0.000046377*AJ307^1.4*N307^2+23.168*AJ307^-0.1*N307^4</f>
        <v>1.0254704195077786</v>
      </c>
      <c r="AM307" s="35">
        <f>H307*AL307*AK307^I307</f>
        <v>58.68100150180045</v>
      </c>
      <c r="AN307" s="35">
        <f>Q307*F307^0.8</f>
        <v>1772.6687587714298</v>
      </c>
      <c r="AO307" s="35">
        <f>((0.78+1.6*N307)/(M307*O307*J307)^0.5-0.1)*(1-0.37*Z307/1000)</f>
        <v>2.1358172101043955</v>
      </c>
      <c r="AP307" s="35">
        <f>AO307*O307</f>
        <v>0.5341089668378035</v>
      </c>
      <c r="AQ307" s="35">
        <f>1-EXP(-AP307*M307*J307)</f>
        <v>0.14850938359647092</v>
      </c>
      <c r="AR307" s="35">
        <f>0.000000049*(0.82+1)/2*AQ307*Z307^3*(1-(AI307/Z307)^3.6)/(1-AI307/Z307)</f>
        <v>30.786598188673416</v>
      </c>
      <c r="AS307" s="35">
        <f>AM307+AR307</f>
        <v>89.46759969047386</v>
      </c>
      <c r="AT307" s="35">
        <f>1/(1/AS307+L307+1/AN307)</f>
        <v>59.732332739644825</v>
      </c>
      <c r="AU307" s="35">
        <f>AT307*G307*AH307/E307</f>
        <v>170.68460257894196</v>
      </c>
      <c r="AW307" s="35">
        <f t="shared" si="1"/>
        <v>100</v>
      </c>
      <c r="AX307" s="35">
        <f t="shared" si="1"/>
        <v>0.994</v>
      </c>
      <c r="AY307" s="35">
        <f>Y307</f>
        <v>873.0128797507554</v>
      </c>
      <c r="AZ307" s="35">
        <f>AU307*AX307</f>
        <v>169.66049496346832</v>
      </c>
      <c r="BA307" s="35">
        <f>AY307+AZ307*E307/F307</f>
        <v>889.1792433609512</v>
      </c>
      <c r="BB307" s="35">
        <f>193.897+1.6984*AW307-0.0066353*AW307^2+0.0000121825*AW307^3</f>
        <v>309.56649999999996</v>
      </c>
      <c r="BC307" s="35">
        <f>3074.3-3.1077*AW307-2.3864*10^7*BA307^-1.3+22437.3*AW307*BA307^-1.3+0.0041697*AW307^2+4.8476*10^10*BA307^-2.6-177649*AW307^2*BA307^-2.6</f>
        <v>638.859320726962</v>
      </c>
      <c r="BD307" s="35">
        <f>BC307+273</f>
        <v>911.859320726962</v>
      </c>
      <c r="BF307" s="35">
        <f t="shared" si="2"/>
        <v>1.2766326530612244</v>
      </c>
      <c r="BG307" s="35">
        <f t="shared" si="2"/>
        <v>0.02</v>
      </c>
      <c r="BH307" s="35">
        <f>P307</f>
        <v>15.171710204081633</v>
      </c>
      <c r="BI307" s="35">
        <f>X307</f>
        <v>320.63582136321463</v>
      </c>
      <c r="BJ307" s="35">
        <f>BI307-AU307/BH307</f>
        <v>309.38563267103785</v>
      </c>
      <c r="BK307" s="35">
        <f>-17.5+3.51*BJ307+38.864*BF307^-0.5-0.30038*BJ307*BF307^-0.5+0.0044766*BJ307^2-23.072/BF307-0.000058066*BJ307^2/BF307-0.010324*BJ307^1.9+IF(BJ307&lt;200,1.6-1.87*BJ307^0.3+0.2012*BF307-21.75*BG307+0.302*BJ307^0.6,-0.19-0.0006295*BJ307+0.7193*BF307^-0.4+41.38*BG307-0.4254*BJ307*BF307^-0.4*BG307)</f>
        <v>868.442155465935</v>
      </c>
    </row>
    <row r="310" ht="15">
      <c r="G310" s="1" t="s">
        <v>1054</v>
      </c>
    </row>
    <row r="311" spans="5:27" ht="15.75">
      <c r="E311" s="1" t="s">
        <v>1042</v>
      </c>
      <c r="F311" s="1" t="s">
        <v>1043</v>
      </c>
      <c r="R311" s="1" t="s">
        <v>1044</v>
      </c>
      <c r="S311" s="12" t="s">
        <v>1045</v>
      </c>
      <c r="T311" s="13"/>
      <c r="U311" s="13"/>
      <c r="V311" s="13"/>
      <c r="W311" s="1" t="s">
        <v>1046</v>
      </c>
      <c r="X311" s="12" t="s">
        <v>1055</v>
      </c>
      <c r="Y311" s="13"/>
      <c r="Z311" s="13"/>
      <c r="AA311" s="13"/>
    </row>
    <row r="312" spans="5:27" ht="15">
      <c r="E312" s="24" t="s">
        <v>835</v>
      </c>
      <c r="F312" s="24" t="s">
        <v>984</v>
      </c>
      <c r="G312" s="24" t="s">
        <v>997</v>
      </c>
      <c r="H312" s="24" t="s">
        <v>989</v>
      </c>
      <c r="I312" s="24" t="s">
        <v>990</v>
      </c>
      <c r="J312" s="24" t="s">
        <v>815</v>
      </c>
      <c r="K312" s="24" t="s">
        <v>988</v>
      </c>
      <c r="L312" s="24" t="s">
        <v>995</v>
      </c>
      <c r="M312" s="24" t="s">
        <v>1048</v>
      </c>
      <c r="N312" s="24" t="s">
        <v>102</v>
      </c>
      <c r="O312" s="24" t="s">
        <v>647</v>
      </c>
      <c r="P312" s="24" t="s">
        <v>699</v>
      </c>
      <c r="Q312" s="24" t="s">
        <v>985</v>
      </c>
      <c r="S312" s="24" t="s">
        <v>109</v>
      </c>
      <c r="T312" s="24" t="s">
        <v>840</v>
      </c>
      <c r="U312" s="24" t="s">
        <v>706</v>
      </c>
      <c r="V312" s="24" t="s">
        <v>695</v>
      </c>
      <c r="X312" s="24" t="s">
        <v>1011</v>
      </c>
      <c r="Y312" s="24" t="s">
        <v>1008</v>
      </c>
      <c r="Z312" s="24" t="s">
        <v>992</v>
      </c>
      <c r="AA312" s="24" t="s">
        <v>996</v>
      </c>
    </row>
    <row r="313" spans="5:27" ht="15">
      <c r="E313" s="4">
        <v>16000</v>
      </c>
      <c r="F313" s="4">
        <v>152914.56538212864</v>
      </c>
      <c r="G313" s="4">
        <v>160</v>
      </c>
      <c r="H313" s="4">
        <v>13.54</v>
      </c>
      <c r="I313" s="4">
        <v>0.64</v>
      </c>
      <c r="J313" s="4">
        <v>0.301</v>
      </c>
      <c r="K313" s="4">
        <v>30.4</v>
      </c>
      <c r="L313" s="4">
        <v>0.005</v>
      </c>
      <c r="M313" s="4">
        <v>1</v>
      </c>
      <c r="N313" s="4">
        <v>0.17163310965489723</v>
      </c>
      <c r="O313" s="4">
        <v>0.24433292962615244</v>
      </c>
      <c r="P313" s="4">
        <v>15.559873469387755</v>
      </c>
      <c r="Q313" s="4">
        <v>0.1171</v>
      </c>
      <c r="S313" s="4">
        <v>100</v>
      </c>
      <c r="T313" s="4">
        <v>0.994</v>
      </c>
      <c r="U313" s="4">
        <v>1.3130758017492712</v>
      </c>
      <c r="V313" s="4">
        <v>0.02</v>
      </c>
      <c r="X313" s="4">
        <v>299.7269743302237</v>
      </c>
      <c r="Y313" s="4">
        <v>684.0812730222092</v>
      </c>
      <c r="Z313" s="4">
        <v>1117.9558714162831</v>
      </c>
      <c r="AA313" s="4">
        <v>605.6377171438701</v>
      </c>
    </row>
    <row r="314" spans="28:58" ht="15.75">
      <c r="AB314" s="1" t="s">
        <v>1049</v>
      </c>
      <c r="AC314" s="12" t="s">
        <v>1050</v>
      </c>
      <c r="AD314" s="13"/>
      <c r="AE314" s="13"/>
      <c r="AF314" s="13"/>
      <c r="AI314" s="1" t="s">
        <v>987</v>
      </c>
      <c r="AW314" s="1" t="s">
        <v>1051</v>
      </c>
      <c r="BF314" s="1" t="s">
        <v>1009</v>
      </c>
    </row>
    <row r="315" spans="4:63" ht="15">
      <c r="D315" s="5" t="s">
        <v>1052</v>
      </c>
      <c r="E315" s="3" t="s">
        <v>835</v>
      </c>
      <c r="F315" s="3" t="s">
        <v>984</v>
      </c>
      <c r="G315" s="3" t="s">
        <v>997</v>
      </c>
      <c r="H315" s="3" t="s">
        <v>989</v>
      </c>
      <c r="I315" s="3" t="s">
        <v>990</v>
      </c>
      <c r="J315" s="3" t="s">
        <v>815</v>
      </c>
      <c r="K315" s="3" t="s">
        <v>988</v>
      </c>
      <c r="L315" s="3" t="s">
        <v>995</v>
      </c>
      <c r="M315" s="3" t="s">
        <v>1048</v>
      </c>
      <c r="N315" s="3" t="s">
        <v>102</v>
      </c>
      <c r="O315" s="3" t="s">
        <v>647</v>
      </c>
      <c r="P315" s="3" t="s">
        <v>699</v>
      </c>
      <c r="Q315" s="3" t="s">
        <v>985</v>
      </c>
      <c r="S315" s="3" t="s">
        <v>109</v>
      </c>
      <c r="T315" s="3" t="s">
        <v>840</v>
      </c>
      <c r="U315" s="3" t="s">
        <v>706</v>
      </c>
      <c r="V315" s="1" t="s">
        <v>695</v>
      </c>
      <c r="X315" s="3" t="s">
        <v>1011</v>
      </c>
      <c r="Y315" s="3" t="s">
        <v>1008</v>
      </c>
      <c r="Z315" s="3" t="s">
        <v>992</v>
      </c>
      <c r="AA315" s="3" t="s">
        <v>996</v>
      </c>
      <c r="AC315" s="24" t="s">
        <v>1011</v>
      </c>
      <c r="AD315" s="24" t="s">
        <v>1008</v>
      </c>
      <c r="AE315" s="24" t="s">
        <v>992</v>
      </c>
      <c r="AF315" s="24" t="s">
        <v>996</v>
      </c>
      <c r="AH315" s="3" t="s">
        <v>1003</v>
      </c>
      <c r="AI315" s="3" t="s">
        <v>991</v>
      </c>
      <c r="AJ315" s="3" t="s">
        <v>1053</v>
      </c>
      <c r="AK315" s="3" t="s">
        <v>209</v>
      </c>
      <c r="AL315" s="3" t="s">
        <v>206</v>
      </c>
      <c r="AM315" s="3" t="s">
        <v>993</v>
      </c>
      <c r="AN315" s="3" t="s">
        <v>994</v>
      </c>
      <c r="AO315" s="3" t="s">
        <v>820</v>
      </c>
      <c r="AP315" s="3" t="s">
        <v>998</v>
      </c>
      <c r="AQ315" s="3" t="s">
        <v>999</v>
      </c>
      <c r="AR315" s="3" t="s">
        <v>1000</v>
      </c>
      <c r="AS315" s="3" t="s">
        <v>1001</v>
      </c>
      <c r="AT315" s="3" t="s">
        <v>1002</v>
      </c>
      <c r="AU315" s="3" t="s">
        <v>1004</v>
      </c>
      <c r="AW315" s="3" t="s">
        <v>109</v>
      </c>
      <c r="AX315" s="3" t="s">
        <v>840</v>
      </c>
      <c r="AY315" s="3" t="s">
        <v>1006</v>
      </c>
      <c r="AZ315" s="3" t="s">
        <v>1007</v>
      </c>
      <c r="BA315" s="3" t="s">
        <v>1008</v>
      </c>
      <c r="BB315" s="3" t="s">
        <v>865</v>
      </c>
      <c r="BC315" s="3" t="s">
        <v>544</v>
      </c>
      <c r="BD315" s="3" t="s">
        <v>996</v>
      </c>
      <c r="BF315" s="3" t="s">
        <v>706</v>
      </c>
      <c r="BG315" s="1" t="s">
        <v>695</v>
      </c>
      <c r="BH315" s="3" t="s">
        <v>699</v>
      </c>
      <c r="BI315" s="3" t="s">
        <v>1010</v>
      </c>
      <c r="BJ315" s="3" t="s">
        <v>1011</v>
      </c>
      <c r="BK315" s="3" t="s">
        <v>1012</v>
      </c>
    </row>
    <row r="316" spans="4:63" ht="15.75">
      <c r="D316" s="4">
        <v>1</v>
      </c>
      <c r="E316" s="35">
        <f aca="true" t="shared" si="6" ref="E316:Q316">E313</f>
        <v>16000</v>
      </c>
      <c r="F316" s="35">
        <f t="shared" si="6"/>
        <v>152914.56538212864</v>
      </c>
      <c r="G316" s="35">
        <f t="shared" si="6"/>
        <v>160</v>
      </c>
      <c r="H316" s="35">
        <f t="shared" si="6"/>
        <v>13.54</v>
      </c>
      <c r="I316" s="35">
        <f t="shared" si="6"/>
        <v>0.64</v>
      </c>
      <c r="J316" s="35">
        <f t="shared" si="6"/>
        <v>0.301</v>
      </c>
      <c r="K316" s="35">
        <f t="shared" si="6"/>
        <v>30.4</v>
      </c>
      <c r="L316" s="35">
        <f t="shared" si="6"/>
        <v>0.005</v>
      </c>
      <c r="M316" s="35">
        <f t="shared" si="6"/>
        <v>1</v>
      </c>
      <c r="N316" s="35">
        <f t="shared" si="6"/>
        <v>0.17163310965489723</v>
      </c>
      <c r="O316" s="35">
        <f t="shared" si="6"/>
        <v>0.24433292962615244</v>
      </c>
      <c r="P316" s="35">
        <f t="shared" si="6"/>
        <v>15.559873469387755</v>
      </c>
      <c r="Q316" s="35">
        <f t="shared" si="6"/>
        <v>0.1171</v>
      </c>
      <c r="S316" s="35">
        <f>S313</f>
        <v>100</v>
      </c>
      <c r="T316" s="35">
        <f>T313</f>
        <v>0.994</v>
      </c>
      <c r="U316" s="35">
        <f>U313</f>
        <v>1.3130758017492712</v>
      </c>
      <c r="V316" s="35">
        <f>V313</f>
        <v>0.02</v>
      </c>
      <c r="X316" s="35">
        <f>X313</f>
        <v>299.7269743302237</v>
      </c>
      <c r="Y316" s="35">
        <f>AD317</f>
        <v>768.5783079134056</v>
      </c>
      <c r="Z316" s="35">
        <f>Z313</f>
        <v>1117.9558714162831</v>
      </c>
      <c r="AA316" s="35">
        <f>AF317</f>
        <v>713.1792337557492</v>
      </c>
      <c r="AC316" s="35">
        <f>BJ316</f>
        <v>285.08801761932233</v>
      </c>
      <c r="AD316" s="35">
        <f>BA316</f>
        <v>792.2687791717631</v>
      </c>
      <c r="AE316" s="35">
        <f>BK316+273</f>
        <v>1080.1734614934296</v>
      </c>
      <c r="AF316" s="35">
        <f>BD316</f>
        <v>750.1161554038335</v>
      </c>
      <c r="AH316" s="35">
        <f>Z316-AA316</f>
        <v>404.7766376605339</v>
      </c>
      <c r="AI316" s="35">
        <f>AA316+(L316+1/AN316)*AU316*E316/G316</f>
        <v>840.9178102620241</v>
      </c>
      <c r="AJ316" s="35">
        <f>Z316-273</f>
        <v>844.9558714162831</v>
      </c>
      <c r="AK316" s="35">
        <f>E316*P316/(3600*K316)*(AJ316+273)/273</f>
        <v>9.315624479787337</v>
      </c>
      <c r="AL316" s="35">
        <f>1.1077-0.002944*AJ316^0.7+0.67936*N316+0.0050854*AJ316^0.7*N316+0.0000089737*AJ316^1.4-2.4659*N316^2-0.000046377*AJ316^1.4*N316^2+23.168*AJ316^-0.1*N316^4</f>
        <v>1.025405885521988</v>
      </c>
      <c r="AM316" s="35">
        <f>H316*AL316*AK316^I316</f>
        <v>57.917543456201365</v>
      </c>
      <c r="AN316" s="35">
        <f>Q316*F316^0.8</f>
        <v>1644.8109131775936</v>
      </c>
      <c r="AO316" s="35">
        <f>((0.78+1.6*N316)/(M316*O316*J316)^0.5-0.1)*(1-0.37*Z316/1000)</f>
        <v>2.221603935350151</v>
      </c>
      <c r="AP316" s="35">
        <f>AO316*O316</f>
        <v>0.5428109979930917</v>
      </c>
      <c r="AQ316" s="35">
        <f>1-EXP(-AP316*M316*J316)</f>
        <v>0.150736784254636</v>
      </c>
      <c r="AR316" s="35">
        <f>0.000000049*(0.82+1)/2*AQ316*Z316^3*(1-(AI316/Z316)^3.6)/(1-AI316/Z316)</f>
        <v>24.302319473981925</v>
      </c>
      <c r="AS316" s="35">
        <f>AM316+AR316</f>
        <v>82.2198629301833</v>
      </c>
      <c r="AT316" s="35">
        <f>1/(1/AS316+L316+1/AN316)</f>
        <v>56.27308815596652</v>
      </c>
      <c r="AU316" s="35">
        <f>AT316*G316*AH316/E316</f>
        <v>227.78031414546942</v>
      </c>
      <c r="AW316" s="35">
        <f aca="true" t="shared" si="7" ref="AW316:AX320">S316</f>
        <v>100</v>
      </c>
      <c r="AX316" s="35">
        <f t="shared" si="7"/>
        <v>0.994</v>
      </c>
      <c r="AY316" s="35">
        <f>Y316</f>
        <v>768.5783079134056</v>
      </c>
      <c r="AZ316" s="35">
        <f>AU316*AX316</f>
        <v>226.41363226059661</v>
      </c>
      <c r="BA316" s="35">
        <f>AY316+AZ316*E316/F316</f>
        <v>792.2687791717631</v>
      </c>
      <c r="BB316" s="35">
        <f>193.897+1.6984*AW316-0.0066353*AW316^2+0.0000121825*AW316^3</f>
        <v>309.56649999999996</v>
      </c>
      <c r="BC316" s="35">
        <f>3074.3-3.1077*AW316-2.3864*10^7*BA316^-1.3+22437.3*AW316*BA316^-1.3+0.0041697*AW316^2+4.8476*10^10*BA316^-2.6-177649*AW316^2*BA316^-2.6</f>
        <v>477.1161554038335</v>
      </c>
      <c r="BD316" s="35">
        <f>BC316+273</f>
        <v>750.1161554038335</v>
      </c>
      <c r="BF316" s="35">
        <f aca="true" t="shared" si="8" ref="BF316:BG320">U316</f>
        <v>1.3130758017492712</v>
      </c>
      <c r="BG316" s="35">
        <f t="shared" si="8"/>
        <v>0.02</v>
      </c>
      <c r="BH316" s="35">
        <f>P316</f>
        <v>15.559873469387755</v>
      </c>
      <c r="BI316" s="35">
        <f>X316</f>
        <v>299.7269743302237</v>
      </c>
      <c r="BJ316" s="35">
        <f>BI316-AU316/BH316</f>
        <v>285.0880176193224</v>
      </c>
      <c r="BK316" s="35">
        <f>-17.5+3.51*BJ316+38.864*BF316^-0.5-0.30038*BJ316*BF316^-0.5+0.0044766*BJ316^2-23.072/BF316-0.000058066*BJ316^2/BF316-0.010324*BJ316^1.9+IF(BJ316&lt;200,1.6-1.87*BJ316^0.3+0.2012*BF316-21.75*BG316+0.302*BJ316^0.6,-0.19-0.0006295*BJ316+0.7193*BF316^-0.4+41.38*BG316-0.4254*BJ316*BF316^-0.4*BG316)</f>
        <v>807.1734614934298</v>
      </c>
    </row>
    <row r="317" spans="4:63" ht="15.75">
      <c r="D317" s="4">
        <v>2</v>
      </c>
      <c r="E317" s="35">
        <f aca="true" t="shared" si="9" ref="E317:Q320">E316</f>
        <v>16000</v>
      </c>
      <c r="F317" s="35">
        <f t="shared" si="9"/>
        <v>152914.56538212864</v>
      </c>
      <c r="G317" s="35">
        <f t="shared" si="9"/>
        <v>160</v>
      </c>
      <c r="H317" s="35">
        <f t="shared" si="9"/>
        <v>13.54</v>
      </c>
      <c r="I317" s="35">
        <f t="shared" si="9"/>
        <v>0.64</v>
      </c>
      <c r="J317" s="35">
        <f t="shared" si="9"/>
        <v>0.301</v>
      </c>
      <c r="K317" s="35">
        <f t="shared" si="9"/>
        <v>30.4</v>
      </c>
      <c r="L317" s="35">
        <f t="shared" si="9"/>
        <v>0.005</v>
      </c>
      <c r="M317" s="35">
        <f t="shared" si="9"/>
        <v>1</v>
      </c>
      <c r="N317" s="35">
        <f t="shared" si="9"/>
        <v>0.17163310965489723</v>
      </c>
      <c r="O317" s="35">
        <f t="shared" si="9"/>
        <v>0.24433292962615244</v>
      </c>
      <c r="P317" s="35">
        <f t="shared" si="9"/>
        <v>15.559873469387755</v>
      </c>
      <c r="Q317" s="35">
        <f t="shared" si="9"/>
        <v>0.1171</v>
      </c>
      <c r="S317" s="35">
        <f aca="true" t="shared" si="10" ref="S317:V320">S316</f>
        <v>100</v>
      </c>
      <c r="T317" s="35">
        <f t="shared" si="10"/>
        <v>0.994</v>
      </c>
      <c r="U317" s="35">
        <f t="shared" si="10"/>
        <v>1.3130758017492712</v>
      </c>
      <c r="V317" s="35">
        <f t="shared" si="10"/>
        <v>0.02</v>
      </c>
      <c r="X317" s="35">
        <f>AC316</f>
        <v>285.08801761932233</v>
      </c>
      <c r="Y317" s="35">
        <f>AD318</f>
        <v>745.8050287202361</v>
      </c>
      <c r="Z317" s="35">
        <f>AE316</f>
        <v>1080.1734614934296</v>
      </c>
      <c r="AA317" s="35">
        <f>AF318</f>
        <v>679.714194445144</v>
      </c>
      <c r="AC317" s="35">
        <f>BJ317</f>
        <v>271.01581767705784</v>
      </c>
      <c r="AD317" s="35">
        <f>BA317</f>
        <v>768.5783079134055</v>
      </c>
      <c r="AE317" s="35">
        <f>BK317+273</f>
        <v>1043.6183021686302</v>
      </c>
      <c r="AF317" s="35">
        <f>BD317</f>
        <v>713.1792337557481</v>
      </c>
      <c r="AH317" s="35">
        <f>Z317-AA317</f>
        <v>400.4592670482856</v>
      </c>
      <c r="AI317" s="35">
        <f>AA317+(L317+1/AN317)*AU317*E317/G317</f>
        <v>802.5072885457598</v>
      </c>
      <c r="AJ317" s="35">
        <f>Z317-273</f>
        <v>807.1734614934296</v>
      </c>
      <c r="AK317" s="35">
        <f>E317*P317/(3600*K317)*(AJ317+273)/273</f>
        <v>9.000793857415092</v>
      </c>
      <c r="AL317" s="35">
        <f>1.1077-0.002944*AJ317^0.7+0.67936*N317+0.0050854*AJ317^0.7*N317+0.0000089737*AJ317^1.4-2.4659*N317^2-0.000046377*AJ317^1.4*N317^2+23.168*AJ317^-0.1*N317^4</f>
        <v>1.0268478713720246</v>
      </c>
      <c r="AM317" s="35">
        <f>H317*AL317*AK317^I317</f>
        <v>56.7367550201292</v>
      </c>
      <c r="AN317" s="35">
        <f>Q317*F317^0.8</f>
        <v>1644.8109131775936</v>
      </c>
      <c r="AO317" s="35">
        <f>((0.78+1.6*N317)/(M317*O317*J317)^0.5-0.1)*(1-0.37*Z317/1000)</f>
        <v>2.2745698406383084</v>
      </c>
      <c r="AP317" s="35">
        <f>AO317*O317</f>
        <v>0.5557523128024485</v>
      </c>
      <c r="AQ317" s="35">
        <f>1-EXP(-AP317*M317*J317)</f>
        <v>0.1540385147771357</v>
      </c>
      <c r="AR317" s="35">
        <f>0.000000049*(0.82+1)/2*AQ317*Z317^3*(1-(AI317/Z317)^3.6)/(1-AI317/Z317)</f>
        <v>22.12112248547107</v>
      </c>
      <c r="AS317" s="35">
        <f>AM317+AR317</f>
        <v>78.85787750560027</v>
      </c>
      <c r="AT317" s="35">
        <f>1/(1/AS317+L317+1/AN317)</f>
        <v>54.677633545975645</v>
      </c>
      <c r="AU317" s="35">
        <f>AT317*G317*AH317/E317</f>
        <v>218.96165053756155</v>
      </c>
      <c r="AW317" s="35">
        <f t="shared" si="7"/>
        <v>100</v>
      </c>
      <c r="AX317" s="35">
        <f t="shared" si="7"/>
        <v>0.994</v>
      </c>
      <c r="AY317" s="35">
        <f>Y317</f>
        <v>745.8050287202361</v>
      </c>
      <c r="AZ317" s="35">
        <f>AU317*AX317</f>
        <v>217.6478806343362</v>
      </c>
      <c r="BA317" s="35">
        <f>AY317+AZ317*E317/F317</f>
        <v>768.5783079134055</v>
      </c>
      <c r="BB317" s="35">
        <f>193.897+1.6984*AW317-0.0066353*AW317^2+0.0000121825*AW317^3</f>
        <v>309.56649999999996</v>
      </c>
      <c r="BC317" s="35">
        <f>3074.3-3.1077*AW317-2.3864*10^7*BA317^-1.3+22437.3*AW317*BA317^-1.3+0.0041697*AW317^2+4.8476*10^10*BA317^-2.6-177649*AW317^2*BA317^-2.6</f>
        <v>440.17923375574804</v>
      </c>
      <c r="BD317" s="35">
        <f>BC317+273</f>
        <v>713.1792337557481</v>
      </c>
      <c r="BF317" s="35">
        <f t="shared" si="8"/>
        <v>1.3130758017492712</v>
      </c>
      <c r="BG317" s="35">
        <f t="shared" si="8"/>
        <v>0.02</v>
      </c>
      <c r="BH317" s="35">
        <f>P317</f>
        <v>15.559873469387755</v>
      </c>
      <c r="BI317" s="35">
        <f>X317</f>
        <v>285.08801761932233</v>
      </c>
      <c r="BJ317" s="35">
        <f>BI317-AU317/BH317</f>
        <v>271.01581767705784</v>
      </c>
      <c r="BK317" s="35">
        <f>-17.5+3.51*BJ317+38.864*BF317^-0.5-0.30038*BJ317*BF317^-0.5+0.0044766*BJ317^2-23.072/BF317-0.000058066*BJ317^2/BF317-0.010324*BJ317^1.9+IF(BJ317&lt;200,1.6-1.87*BJ317^0.3+0.2012*BF317-21.75*BG317+0.302*BJ317^0.6,-0.19-0.0006295*BJ317+0.7193*BF317^-0.4+41.38*BG317-0.4254*BJ317*BF317^-0.4*BG317)</f>
        <v>770.6183021686303</v>
      </c>
    </row>
    <row r="318" spans="4:63" ht="15.75">
      <c r="D318" s="4">
        <v>3</v>
      </c>
      <c r="E318" s="35">
        <f t="shared" si="9"/>
        <v>16000</v>
      </c>
      <c r="F318" s="35">
        <f t="shared" si="9"/>
        <v>152914.56538212864</v>
      </c>
      <c r="G318" s="35">
        <f t="shared" si="9"/>
        <v>160</v>
      </c>
      <c r="H318" s="35">
        <f t="shared" si="9"/>
        <v>13.54</v>
      </c>
      <c r="I318" s="35">
        <f t="shared" si="9"/>
        <v>0.64</v>
      </c>
      <c r="J318" s="35">
        <f t="shared" si="9"/>
        <v>0.301</v>
      </c>
      <c r="K318" s="35">
        <f t="shared" si="9"/>
        <v>30.4</v>
      </c>
      <c r="L318" s="35">
        <f t="shared" si="9"/>
        <v>0.005</v>
      </c>
      <c r="M318" s="35">
        <f t="shared" si="9"/>
        <v>1</v>
      </c>
      <c r="N318" s="35">
        <f t="shared" si="9"/>
        <v>0.17163310965489723</v>
      </c>
      <c r="O318" s="35">
        <f t="shared" si="9"/>
        <v>0.24433292962615244</v>
      </c>
      <c r="P318" s="35">
        <f t="shared" si="9"/>
        <v>15.559873469387755</v>
      </c>
      <c r="Q318" s="35">
        <f t="shared" si="9"/>
        <v>0.1171</v>
      </c>
      <c r="S318" s="35">
        <f t="shared" si="10"/>
        <v>100</v>
      </c>
      <c r="T318" s="35">
        <f t="shared" si="10"/>
        <v>0.994</v>
      </c>
      <c r="U318" s="35">
        <f t="shared" si="10"/>
        <v>1.3130758017492712</v>
      </c>
      <c r="V318" s="35">
        <f t="shared" si="10"/>
        <v>0.02</v>
      </c>
      <c r="X318" s="35">
        <f>AC317</f>
        <v>271.01581767705784</v>
      </c>
      <c r="Y318" s="35">
        <f>AD319</f>
        <v>724.0585591976323</v>
      </c>
      <c r="Z318" s="35">
        <f>AE317</f>
        <v>1043.6183021686302</v>
      </c>
      <c r="AA318" s="35">
        <f>AF319</f>
        <v>650.3149872795931</v>
      </c>
      <c r="AC318" s="35">
        <f>BJ318</f>
        <v>257.5781100652252</v>
      </c>
      <c r="AD318" s="35">
        <f>BA318</f>
        <v>745.8050287202361</v>
      </c>
      <c r="AE318" s="35">
        <f>BK318+273</f>
        <v>1008.4864759009706</v>
      </c>
      <c r="AF318" s="35">
        <f>BD318</f>
        <v>679.714194445144</v>
      </c>
      <c r="AH318" s="35">
        <f>Z318-AA318</f>
        <v>393.3033148890371</v>
      </c>
      <c r="AI318" s="35">
        <f>AA318+(L318+1/AN318)*AU318*E318/G318</f>
        <v>767.5715429031762</v>
      </c>
      <c r="AJ318" s="35">
        <f>Z318-273</f>
        <v>770.6183021686302</v>
      </c>
      <c r="AK318" s="35">
        <f>E318*P318/(3600*K318)*(AJ318+273)/273</f>
        <v>8.696189582975151</v>
      </c>
      <c r="AL318" s="35">
        <f>1.1077-0.002944*AJ318^0.7+0.67936*N318+0.0050854*AJ318^0.7*N318+0.0000089737*AJ318^1.4-2.4659*N318^2-0.000046377*AJ318^1.4*N318^2+23.168*AJ318^-0.1*N318^4</f>
        <v>1.0284479653855272</v>
      </c>
      <c r="AM318" s="35">
        <f>H318*AL318*AK318^I318</f>
        <v>55.586783828454784</v>
      </c>
      <c r="AN318" s="35">
        <f>Q318*F318^0.8</f>
        <v>1644.8109131775936</v>
      </c>
      <c r="AO318" s="35">
        <f>((0.78+1.6*N318)/(M318*O318*J318)^0.5-0.1)*(1-0.37*Z318/1000)</f>
        <v>2.325815304083976</v>
      </c>
      <c r="AP318" s="35">
        <f>AO318*O318</f>
        <v>0.5682732670161785</v>
      </c>
      <c r="AQ318" s="35">
        <f>1-EXP(-AP318*M318*J318)</f>
        <v>0.15722078009011797</v>
      </c>
      <c r="AR318" s="35">
        <f>0.000000049*(0.82+1)/2*AQ318*Z318^3*(1-(AI318/Z318)^3.6)/(1-AI318/Z318)</f>
        <v>20.15727877714112</v>
      </c>
      <c r="AS318" s="35">
        <f>AM318+AR318</f>
        <v>75.7440626055959</v>
      </c>
      <c r="AT318" s="35">
        <f>1/(1/AS318+L318+1/AN318)</f>
        <v>53.16228524993095</v>
      </c>
      <c r="AU318" s="35">
        <f>AT318*G318*AH318/E318</f>
        <v>209.08903015874404</v>
      </c>
      <c r="AW318" s="35">
        <f t="shared" si="7"/>
        <v>100</v>
      </c>
      <c r="AX318" s="35">
        <f t="shared" si="7"/>
        <v>0.994</v>
      </c>
      <c r="AY318" s="35">
        <f>Y318</f>
        <v>724.0585591976323</v>
      </c>
      <c r="AZ318" s="35">
        <f>AU318*AX318</f>
        <v>207.83449597779156</v>
      </c>
      <c r="BA318" s="35">
        <f>AY318+AZ318*E318/F318</f>
        <v>745.8050287202361</v>
      </c>
      <c r="BB318" s="35">
        <f>193.897+1.6984*AW318-0.0066353*AW318^2+0.0000121825*AW318^3</f>
        <v>309.56649999999996</v>
      </c>
      <c r="BC318" s="35">
        <f>3074.3-3.1077*AW318-2.3864*10^7*BA318^-1.3+22437.3*AW318*BA318^-1.3+0.0041697*AW318^2+4.8476*10^10*BA318^-2.6-177649*AW318^2*BA318^-2.6</f>
        <v>406.714194445144</v>
      </c>
      <c r="BD318" s="35">
        <f>BC318+273</f>
        <v>679.714194445144</v>
      </c>
      <c r="BF318" s="35">
        <f t="shared" si="8"/>
        <v>1.3130758017492712</v>
      </c>
      <c r="BG318" s="35">
        <f t="shared" si="8"/>
        <v>0.02</v>
      </c>
      <c r="BH318" s="35">
        <f>P318</f>
        <v>15.559873469387755</v>
      </c>
      <c r="BI318" s="35">
        <f>X318</f>
        <v>271.01581767705784</v>
      </c>
      <c r="BJ318" s="35">
        <f>BI318-AU318/BH318</f>
        <v>257.57811006522525</v>
      </c>
      <c r="BK318" s="35">
        <f>-17.5+3.51*BJ318+38.864*BF318^-0.5-0.30038*BJ318*BF318^-0.5+0.0044766*BJ318^2-23.072/BF318-0.000058066*BJ318^2/BF318-0.010324*BJ318^1.9+IF(BJ318&lt;200,1.6-1.87*BJ318^0.3+0.2012*BF318-21.75*BG318+0.302*BJ318^0.6,-0.19-0.0006295*BJ318+0.7193*BF318^-0.4+41.38*BG318-0.4254*BJ318*BF318^-0.4*BG318)</f>
        <v>735.4864759009711</v>
      </c>
    </row>
    <row r="319" spans="4:63" ht="15.75">
      <c r="D319" s="4">
        <v>4</v>
      </c>
      <c r="E319" s="35">
        <f t="shared" si="9"/>
        <v>16000</v>
      </c>
      <c r="F319" s="35">
        <f t="shared" si="9"/>
        <v>152914.56538212864</v>
      </c>
      <c r="G319" s="35">
        <f t="shared" si="9"/>
        <v>160</v>
      </c>
      <c r="H319" s="35">
        <f t="shared" si="9"/>
        <v>13.54</v>
      </c>
      <c r="I319" s="35">
        <f t="shared" si="9"/>
        <v>0.64</v>
      </c>
      <c r="J319" s="35">
        <f t="shared" si="9"/>
        <v>0.301</v>
      </c>
      <c r="K319" s="35">
        <f t="shared" si="9"/>
        <v>30.4</v>
      </c>
      <c r="L319" s="35">
        <f t="shared" si="9"/>
        <v>0.005</v>
      </c>
      <c r="M319" s="35">
        <f t="shared" si="9"/>
        <v>1</v>
      </c>
      <c r="N319" s="35">
        <f t="shared" si="9"/>
        <v>0.17163310965489723</v>
      </c>
      <c r="O319" s="35">
        <f t="shared" si="9"/>
        <v>0.24433292962615244</v>
      </c>
      <c r="P319" s="35">
        <f t="shared" si="9"/>
        <v>15.559873469387755</v>
      </c>
      <c r="Q319" s="35">
        <f t="shared" si="9"/>
        <v>0.1171</v>
      </c>
      <c r="S319" s="35">
        <f t="shared" si="10"/>
        <v>100</v>
      </c>
      <c r="T319" s="35">
        <f t="shared" si="10"/>
        <v>0.994</v>
      </c>
      <c r="U319" s="35">
        <f t="shared" si="10"/>
        <v>1.3130758017492712</v>
      </c>
      <c r="V319" s="35">
        <f t="shared" si="10"/>
        <v>0.02</v>
      </c>
      <c r="X319" s="35">
        <f>AC318</f>
        <v>257.5781100652252</v>
      </c>
      <c r="Y319" s="35">
        <f>AD320</f>
        <v>703.449105525657</v>
      </c>
      <c r="Z319" s="35">
        <f>AE318</f>
        <v>1008.4864759009706</v>
      </c>
      <c r="AA319" s="35">
        <f>AF320</f>
        <v>625.496374213091</v>
      </c>
      <c r="AC319" s="35">
        <f>BJ319</f>
        <v>244.84299404118497</v>
      </c>
      <c r="AD319" s="35">
        <f>BA319</f>
        <v>724.0585591976323</v>
      </c>
      <c r="AE319" s="35">
        <f>BK319+273</f>
        <v>974.980213000797</v>
      </c>
      <c r="AF319" s="35">
        <f>BD319</f>
        <v>650.3149872795931</v>
      </c>
      <c r="AH319" s="35">
        <f>Z319-AA319</f>
        <v>382.9901016878796</v>
      </c>
      <c r="AI319" s="35">
        <f>AA319+(L319+1/AN319)*AU319*E319/G319</f>
        <v>736.6221617046085</v>
      </c>
      <c r="AJ319" s="35">
        <f>Z319-273</f>
        <v>735.4864759009706</v>
      </c>
      <c r="AK319" s="35">
        <f>E319*P319/(3600*K319)*(AJ319+273)/273</f>
        <v>8.403445558665823</v>
      </c>
      <c r="AL319" s="35">
        <f>1.1077-0.002944*AJ319^0.7+0.67936*N319+0.0050854*AJ319^0.7*N319+0.0000089737*AJ319^1.4-2.4659*N319^2-0.000046377*AJ319^1.4*N319^2+23.168*AJ319^-0.1*N319^4</f>
        <v>1.0301842877118448</v>
      </c>
      <c r="AM319" s="35">
        <f>H319*AL319*AK319^I319</f>
        <v>54.47362995312848</v>
      </c>
      <c r="AN319" s="35">
        <f>Q319*F319^0.8</f>
        <v>1644.8109131775936</v>
      </c>
      <c r="AO319" s="35">
        <f>((0.78+1.6*N319)/(M319*O319*J319)^0.5-0.1)*(1-0.37*Z319/1000)</f>
        <v>2.3750654442018866</v>
      </c>
      <c r="AP319" s="35">
        <f>AO319*O319</f>
        <v>0.580306698035686</v>
      </c>
      <c r="AQ319" s="35">
        <f>1-EXP(-AP319*M319*J319)</f>
        <v>0.16026785761368345</v>
      </c>
      <c r="AR319" s="35">
        <f>0.000000049*(0.82+1)/2*AQ319*Z319^3*(1-(AI319/Z319)^3.6)/(1-AI319/Z319)</f>
        <v>18.414492394887297</v>
      </c>
      <c r="AS319" s="35">
        <f>AM319+AR319</f>
        <v>72.88812234801577</v>
      </c>
      <c r="AT319" s="35">
        <f>1/(1/AS319+L319+1/AN319)</f>
        <v>51.73940346728012</v>
      </c>
      <c r="AU319" s="35">
        <f>AT319*G319*AH319/E319</f>
        <v>198.15679395203844</v>
      </c>
      <c r="AW319" s="35">
        <f t="shared" si="7"/>
        <v>100</v>
      </c>
      <c r="AX319" s="35">
        <f t="shared" si="7"/>
        <v>0.994</v>
      </c>
      <c r="AY319" s="35">
        <f>Y319</f>
        <v>703.449105525657</v>
      </c>
      <c r="AZ319" s="35">
        <f>AU319*AX319</f>
        <v>196.96785318832622</v>
      </c>
      <c r="BA319" s="35">
        <f>AY319+AZ319*E319/F319</f>
        <v>724.0585591976323</v>
      </c>
      <c r="BB319" s="35">
        <f>193.897+1.6984*AW319-0.0066353*AW319^2+0.0000121825*AW319^3</f>
        <v>309.56649999999996</v>
      </c>
      <c r="BC319" s="35">
        <f>3074.3-3.1077*AW319-2.3864*10^7*BA319^-1.3+22437.3*AW319*BA319^-1.3+0.0041697*AW319^2+4.8476*10^10*BA319^-2.6-177649*AW319^2*BA319^-2.6</f>
        <v>377.3149872795931</v>
      </c>
      <c r="BD319" s="35">
        <f>BC319+273</f>
        <v>650.3149872795931</v>
      </c>
      <c r="BF319" s="35">
        <f t="shared" si="8"/>
        <v>1.3130758017492712</v>
      </c>
      <c r="BG319" s="35">
        <f t="shared" si="8"/>
        <v>0.02</v>
      </c>
      <c r="BH319" s="35">
        <f>P319</f>
        <v>15.559873469387755</v>
      </c>
      <c r="BI319" s="35">
        <f>X319</f>
        <v>257.5781100652252</v>
      </c>
      <c r="BJ319" s="35">
        <f>BI319-AU319/BH319</f>
        <v>244.84299404118497</v>
      </c>
      <c r="BK319" s="35">
        <f>-17.5+3.51*BJ319+38.864*BF319^-0.5-0.30038*BJ319*BF319^-0.5+0.0044766*BJ319^2-23.072/BF319-0.000058066*BJ319^2/BF319-0.010324*BJ319^1.9+IF(BJ319&lt;200,1.6-1.87*BJ319^0.3+0.2012*BF319-21.75*BG319+0.302*BJ319^0.6,-0.19-0.0006295*BJ319+0.7193*BF319^-0.4+41.38*BG319-0.4254*BJ319*BF319^-0.4*BG319)</f>
        <v>701.980213000797</v>
      </c>
    </row>
    <row r="320" spans="4:63" ht="15.75">
      <c r="D320" s="4">
        <v>5</v>
      </c>
      <c r="E320" s="35">
        <f t="shared" si="9"/>
        <v>16000</v>
      </c>
      <c r="F320" s="35">
        <f t="shared" si="9"/>
        <v>152914.56538212864</v>
      </c>
      <c r="G320" s="35">
        <f t="shared" si="9"/>
        <v>160</v>
      </c>
      <c r="H320" s="35">
        <f t="shared" si="9"/>
        <v>13.54</v>
      </c>
      <c r="I320" s="35">
        <f t="shared" si="9"/>
        <v>0.64</v>
      </c>
      <c r="J320" s="35">
        <f t="shared" si="9"/>
        <v>0.301</v>
      </c>
      <c r="K320" s="35">
        <f t="shared" si="9"/>
        <v>30.4</v>
      </c>
      <c r="L320" s="35">
        <f t="shared" si="9"/>
        <v>0.005</v>
      </c>
      <c r="M320" s="35">
        <f t="shared" si="9"/>
        <v>1</v>
      </c>
      <c r="N320" s="35">
        <f t="shared" si="9"/>
        <v>0.17163310965489723</v>
      </c>
      <c r="O320" s="35">
        <f t="shared" si="9"/>
        <v>0.24433292962615244</v>
      </c>
      <c r="P320" s="35">
        <f t="shared" si="9"/>
        <v>15.559873469387755</v>
      </c>
      <c r="Q320" s="35">
        <f t="shared" si="9"/>
        <v>0.1171</v>
      </c>
      <c r="S320" s="35">
        <f t="shared" si="10"/>
        <v>100</v>
      </c>
      <c r="T320" s="35">
        <f t="shared" si="10"/>
        <v>0.994</v>
      </c>
      <c r="U320" s="35">
        <f t="shared" si="10"/>
        <v>1.3130758017492712</v>
      </c>
      <c r="V320" s="35">
        <f t="shared" si="10"/>
        <v>0.02</v>
      </c>
      <c r="X320" s="35">
        <f>AC319</f>
        <v>244.84299404118497</v>
      </c>
      <c r="Y320" s="35">
        <f>Y313</f>
        <v>684.0812730222092</v>
      </c>
      <c r="Z320" s="35">
        <f>AE319</f>
        <v>974.980213000797</v>
      </c>
      <c r="AA320" s="35">
        <f>AA313</f>
        <v>605.6377171438701</v>
      </c>
      <c r="AC320" s="35">
        <f>BJ320</f>
        <v>232.87510794428263</v>
      </c>
      <c r="AD320" s="35">
        <f>BA320</f>
        <v>703.449105525657</v>
      </c>
      <c r="AE320" s="35">
        <f>BK320+273</f>
        <v>943.2975242181047</v>
      </c>
      <c r="AF320" s="35">
        <f>BD320</f>
        <v>625.496374213091</v>
      </c>
      <c r="AH320" s="35">
        <f>Z320-AA320</f>
        <v>369.3424958569269</v>
      </c>
      <c r="AI320" s="35">
        <f>AA320+(L320+1/AN320)*AU320*E320/G320</f>
        <v>710.0687065919844</v>
      </c>
      <c r="AJ320" s="35">
        <f>Z320-273</f>
        <v>701.980213000797</v>
      </c>
      <c r="AK320" s="35">
        <f>E320*P320/(3600*K320)*(AJ320+273)/273</f>
        <v>8.124246915070326</v>
      </c>
      <c r="AL320" s="35">
        <f>1.1077-0.002944*AJ320^0.7+0.67936*N320+0.0050854*AJ320^0.7*N320+0.0000089737*AJ320^1.4-2.4659*N320^2-0.000046377*AJ320^1.4*N320^2+23.168*AJ320^-0.1*N320^4</f>
        <v>1.0320298668557404</v>
      </c>
      <c r="AM320" s="35">
        <f>H320*AL320*AK320^I320</f>
        <v>53.40379539561131</v>
      </c>
      <c r="AN320" s="35">
        <f>Q320*F320^0.8</f>
        <v>1644.8109131775936</v>
      </c>
      <c r="AO320" s="35">
        <f>((0.78+1.6*N320)/(M320*O320*J320)^0.5-0.1)*(1-0.37*Z320/1000)</f>
        <v>2.422036761038329</v>
      </c>
      <c r="AP320" s="35">
        <f>AO320*O320</f>
        <v>0.5917833374867323</v>
      </c>
      <c r="AQ320" s="35">
        <f>1-EXP(-AP320*M320*J320)</f>
        <v>0.1631636811814524</v>
      </c>
      <c r="AR320" s="35">
        <f>0.000000049*(0.82+1)/2*AQ320*Z320^3*(1-(AI320/Z320)^3.6)/(1-AI320/Z320)</f>
        <v>16.890921465977836</v>
      </c>
      <c r="AS320" s="35">
        <f>AM320+AR320</f>
        <v>70.29471686158915</v>
      </c>
      <c r="AT320" s="35">
        <f>1/(1/AS320+L320+1/AN320)</f>
        <v>50.41900010227401</v>
      </c>
      <c r="AU320" s="35">
        <f>AT320*G320*AH320/E320</f>
        <v>186.21879336384538</v>
      </c>
      <c r="AW320" s="35">
        <f t="shared" si="7"/>
        <v>100</v>
      </c>
      <c r="AX320" s="35">
        <f t="shared" si="7"/>
        <v>0.994</v>
      </c>
      <c r="AY320" s="35">
        <f>Y320</f>
        <v>684.0812730222092</v>
      </c>
      <c r="AZ320" s="35">
        <f>AU320*AX320</f>
        <v>185.1014806036623</v>
      </c>
      <c r="BA320" s="35">
        <f>AY320+AZ320*E320/F320</f>
        <v>703.449105525657</v>
      </c>
      <c r="BB320" s="35">
        <f>193.897+1.6984*AW320-0.0066353*AW320^2+0.0000121825*AW320^3</f>
        <v>309.56649999999996</v>
      </c>
      <c r="BC320" s="35">
        <f>3074.3-3.1077*AW320-2.3864*10^7*BA320^-1.3+22437.3*AW320*BA320^-1.3+0.0041697*AW320^2+4.8476*10^10*BA320^-2.6-177649*AW320^2*BA320^-2.6</f>
        <v>352.49637421309103</v>
      </c>
      <c r="BD320" s="35">
        <f>BC320+273</f>
        <v>625.496374213091</v>
      </c>
      <c r="BF320" s="35">
        <f t="shared" si="8"/>
        <v>1.3130758017492712</v>
      </c>
      <c r="BG320" s="35">
        <f t="shared" si="8"/>
        <v>0.02</v>
      </c>
      <c r="BH320" s="35">
        <f>P320</f>
        <v>15.559873469387755</v>
      </c>
      <c r="BI320" s="35">
        <f>X320</f>
        <v>244.84299404118497</v>
      </c>
      <c r="BJ320" s="35">
        <f>BI320-AU320/BH320</f>
        <v>232.87510794428263</v>
      </c>
      <c r="BK320" s="35">
        <f>-17.5+3.51*BJ320+38.864*BF320^-0.5-0.30038*BJ320*BF320^-0.5+0.0044766*BJ320^2-23.072/BF320-0.000058066*BJ320^2/BF320-0.010324*BJ320^1.9+IF(BJ320&lt;200,1.6-1.87*BJ320^0.3+0.2012*BF320-21.75*BG320+0.302*BJ320^0.6,-0.19-0.0006295*BJ320+0.7193*BF320^-0.4+41.38*BG320-0.4254*BJ320*BF320^-0.4*BG320)</f>
        <v>670.2975242181047</v>
      </c>
    </row>
    <row r="323" ht="15">
      <c r="G323" s="1" t="s">
        <v>1056</v>
      </c>
    </row>
    <row r="324" spans="5:27" ht="15.75">
      <c r="E324" s="1" t="s">
        <v>1042</v>
      </c>
      <c r="F324" s="1" t="s">
        <v>1043</v>
      </c>
      <c r="R324" s="1" t="s">
        <v>1044</v>
      </c>
      <c r="S324" s="12" t="s">
        <v>1045</v>
      </c>
      <c r="T324" s="13"/>
      <c r="U324" s="13"/>
      <c r="V324" s="13"/>
      <c r="W324" s="1" t="s">
        <v>1046</v>
      </c>
      <c r="X324" s="12" t="s">
        <v>1047</v>
      </c>
      <c r="Y324" s="13"/>
      <c r="Z324" s="13"/>
      <c r="AA324" s="13"/>
    </row>
    <row r="325" spans="5:27" ht="15">
      <c r="E325" s="24" t="s">
        <v>835</v>
      </c>
      <c r="F325" s="24" t="s">
        <v>1014</v>
      </c>
      <c r="G325" s="24" t="s">
        <v>997</v>
      </c>
      <c r="H325" s="24" t="s">
        <v>989</v>
      </c>
      <c r="I325" s="24" t="s">
        <v>990</v>
      </c>
      <c r="J325" s="24" t="s">
        <v>815</v>
      </c>
      <c r="K325" s="24" t="s">
        <v>988</v>
      </c>
      <c r="L325" s="24" t="s">
        <v>995</v>
      </c>
      <c r="M325" s="24" t="s">
        <v>1048</v>
      </c>
      <c r="N325" s="24" t="s">
        <v>102</v>
      </c>
      <c r="O325" s="24" t="s">
        <v>647</v>
      </c>
      <c r="P325" s="24" t="s">
        <v>699</v>
      </c>
      <c r="Q325" s="24" t="s">
        <v>994</v>
      </c>
      <c r="S325" s="24" t="s">
        <v>109</v>
      </c>
      <c r="T325" s="24" t="s">
        <v>840</v>
      </c>
      <c r="U325" s="24" t="s">
        <v>706</v>
      </c>
      <c r="V325" s="24" t="s">
        <v>695</v>
      </c>
      <c r="X325" s="24" t="s">
        <v>1011</v>
      </c>
      <c r="Y325" s="24" t="s">
        <v>852</v>
      </c>
      <c r="Z325" s="24" t="s">
        <v>992</v>
      </c>
      <c r="AA325" s="24" t="s">
        <v>996</v>
      </c>
    </row>
    <row r="326" spans="5:27" ht="15">
      <c r="E326" s="4">
        <v>16000</v>
      </c>
      <c r="F326" s="4">
        <v>156737.42951668185</v>
      </c>
      <c r="G326" s="4">
        <v>190.4</v>
      </c>
      <c r="H326" s="4">
        <v>19.664</v>
      </c>
      <c r="I326" s="4">
        <v>0.6</v>
      </c>
      <c r="J326" s="4">
        <v>0.236</v>
      </c>
      <c r="K326" s="4">
        <v>19.8</v>
      </c>
      <c r="L326" s="4">
        <v>0.005</v>
      </c>
      <c r="M326" s="4">
        <v>1</v>
      </c>
      <c r="N326" s="4">
        <v>0.16884818671021506</v>
      </c>
      <c r="O326" s="4">
        <v>0.24021278776277238</v>
      </c>
      <c r="P326" s="4">
        <v>15.850995918367346</v>
      </c>
      <c r="Q326" s="4">
        <v>100000</v>
      </c>
      <c r="S326" s="4">
        <v>100</v>
      </c>
      <c r="T326" s="4">
        <v>0.994</v>
      </c>
      <c r="U326" s="4">
        <v>1.340408163265306</v>
      </c>
      <c r="V326" s="4">
        <v>0.02</v>
      </c>
      <c r="X326" s="4">
        <v>269.38623427374074</v>
      </c>
      <c r="Y326" s="4">
        <v>260</v>
      </c>
      <c r="Z326" s="4">
        <v>1040.1811822237664</v>
      </c>
      <c r="AA326" s="4">
        <v>519</v>
      </c>
    </row>
    <row r="327" spans="28:58" ht="15.75">
      <c r="AB327" s="1" t="s">
        <v>1049</v>
      </c>
      <c r="AC327" s="12" t="s">
        <v>1050</v>
      </c>
      <c r="AD327" s="13"/>
      <c r="AE327" s="13"/>
      <c r="AF327" s="13"/>
      <c r="AI327" s="1" t="s">
        <v>987</v>
      </c>
      <c r="AW327" s="1" t="s">
        <v>1051</v>
      </c>
      <c r="BF327" s="1" t="s">
        <v>1009</v>
      </c>
    </row>
    <row r="328" spans="4:63" ht="15">
      <c r="D328" s="5" t="s">
        <v>1052</v>
      </c>
      <c r="E328" s="3" t="s">
        <v>835</v>
      </c>
      <c r="F328" s="3" t="s">
        <v>1014</v>
      </c>
      <c r="G328" s="3" t="s">
        <v>997</v>
      </c>
      <c r="H328" s="3" t="s">
        <v>989</v>
      </c>
      <c r="I328" s="3" t="s">
        <v>990</v>
      </c>
      <c r="J328" s="3" t="s">
        <v>815</v>
      </c>
      <c r="K328" s="3" t="s">
        <v>988</v>
      </c>
      <c r="L328" s="3" t="s">
        <v>995</v>
      </c>
      <c r="M328" s="3" t="s">
        <v>1048</v>
      </c>
      <c r="N328" s="3" t="s">
        <v>102</v>
      </c>
      <c r="O328" s="3" t="s">
        <v>647</v>
      </c>
      <c r="P328" s="3" t="s">
        <v>699</v>
      </c>
      <c r="Q328" s="3" t="s">
        <v>994</v>
      </c>
      <c r="S328" s="3" t="s">
        <v>109</v>
      </c>
      <c r="T328" s="3" t="s">
        <v>840</v>
      </c>
      <c r="U328" s="3" t="s">
        <v>706</v>
      </c>
      <c r="V328" s="1" t="s">
        <v>695</v>
      </c>
      <c r="X328" s="3" t="s">
        <v>1011</v>
      </c>
      <c r="Y328" s="3" t="s">
        <v>852</v>
      </c>
      <c r="Z328" s="3" t="s">
        <v>992</v>
      </c>
      <c r="AA328" s="3" t="s">
        <v>996</v>
      </c>
      <c r="AC328" s="24" t="s">
        <v>1011</v>
      </c>
      <c r="AD328" s="24" t="s">
        <v>852</v>
      </c>
      <c r="AE328" s="24" t="s">
        <v>992</v>
      </c>
      <c r="AF328" s="24" t="s">
        <v>996</v>
      </c>
      <c r="AH328" s="3" t="s">
        <v>1003</v>
      </c>
      <c r="AI328" s="3" t="s">
        <v>991</v>
      </c>
      <c r="AJ328" s="3" t="s">
        <v>1053</v>
      </c>
      <c r="AK328" s="3" t="s">
        <v>209</v>
      </c>
      <c r="AL328" s="3" t="s">
        <v>206</v>
      </c>
      <c r="AM328" s="3" t="s">
        <v>993</v>
      </c>
      <c r="AN328" s="3" t="s">
        <v>994</v>
      </c>
      <c r="AO328" s="3" t="s">
        <v>820</v>
      </c>
      <c r="AP328" s="3" t="s">
        <v>998</v>
      </c>
      <c r="AQ328" s="3" t="s">
        <v>999</v>
      </c>
      <c r="AR328" s="3" t="s">
        <v>1000</v>
      </c>
      <c r="AS328" s="3" t="s">
        <v>1001</v>
      </c>
      <c r="AT328" s="3" t="s">
        <v>1002</v>
      </c>
      <c r="AU328" s="3" t="s">
        <v>1004</v>
      </c>
      <c r="AW328" s="3" t="s">
        <v>109</v>
      </c>
      <c r="AX328" s="3" t="s">
        <v>840</v>
      </c>
      <c r="AY328" s="3" t="s">
        <v>1015</v>
      </c>
      <c r="AZ328" s="3" t="s">
        <v>1007</v>
      </c>
      <c r="BA328" s="3" t="s">
        <v>852</v>
      </c>
      <c r="BB328" s="3" t="s">
        <v>865</v>
      </c>
      <c r="BC328" s="3" t="s">
        <v>544</v>
      </c>
      <c r="BD328" s="3" t="s">
        <v>996</v>
      </c>
      <c r="BF328" s="3" t="s">
        <v>706</v>
      </c>
      <c r="BG328" s="1" t="s">
        <v>695</v>
      </c>
      <c r="BH328" s="3" t="s">
        <v>699</v>
      </c>
      <c r="BI328" s="3" t="s">
        <v>1010</v>
      </c>
      <c r="BJ328" s="3" t="s">
        <v>1011</v>
      </c>
      <c r="BK328" s="3" t="s">
        <v>1012</v>
      </c>
    </row>
    <row r="329" spans="4:63" ht="15.75">
      <c r="D329" s="4">
        <v>1</v>
      </c>
      <c r="E329" s="35">
        <f aca="true" t="shared" si="11" ref="E329:Q329">E326</f>
        <v>16000</v>
      </c>
      <c r="F329" s="35">
        <f t="shared" si="11"/>
        <v>156737.42951668185</v>
      </c>
      <c r="G329" s="35">
        <f t="shared" si="11"/>
        <v>190.4</v>
      </c>
      <c r="H329" s="35">
        <f t="shared" si="11"/>
        <v>19.664</v>
      </c>
      <c r="I329" s="35">
        <f t="shared" si="11"/>
        <v>0.6</v>
      </c>
      <c r="J329" s="35">
        <f t="shared" si="11"/>
        <v>0.236</v>
      </c>
      <c r="K329" s="35">
        <f t="shared" si="11"/>
        <v>19.8</v>
      </c>
      <c r="L329" s="35">
        <f t="shared" si="11"/>
        <v>0.005</v>
      </c>
      <c r="M329" s="35">
        <f t="shared" si="11"/>
        <v>1</v>
      </c>
      <c r="N329" s="35">
        <f t="shared" si="11"/>
        <v>0.16884818671021506</v>
      </c>
      <c r="O329" s="35">
        <f t="shared" si="11"/>
        <v>0.24021278776277238</v>
      </c>
      <c r="P329" s="35">
        <f t="shared" si="11"/>
        <v>15.850995918367346</v>
      </c>
      <c r="Q329" s="35">
        <f t="shared" si="11"/>
        <v>100000</v>
      </c>
      <c r="S329" s="35">
        <f>S326</f>
        <v>100</v>
      </c>
      <c r="T329" s="35">
        <f>T326</f>
        <v>0.994</v>
      </c>
      <c r="U329" s="35">
        <f>U326</f>
        <v>1.340408163265306</v>
      </c>
      <c r="V329" s="35">
        <f>V326</f>
        <v>0.02</v>
      </c>
      <c r="X329" s="35">
        <f>X326</f>
        <v>269.38623427374074</v>
      </c>
      <c r="Y329" s="35">
        <f>AD330</f>
        <v>373.03240517210327</v>
      </c>
      <c r="Z329" s="35">
        <f>Z326</f>
        <v>1040.1811822237664</v>
      </c>
      <c r="AA329" s="35">
        <f>AF330</f>
        <v>609.7412300452745</v>
      </c>
      <c r="AC329" s="35">
        <f>BJ329</f>
        <v>245.90311754765435</v>
      </c>
      <c r="AD329" s="35">
        <f>BA329</f>
        <v>410.80231412543145</v>
      </c>
      <c r="AE329" s="35">
        <f>BK329+273</f>
        <v>978.5134028718629</v>
      </c>
      <c r="AF329" s="35">
        <f>BD329</f>
        <v>632.2826750971182</v>
      </c>
      <c r="AH329" s="35">
        <f>Z329-AA329</f>
        <v>430.4399521784919</v>
      </c>
      <c r="AI329" s="35">
        <f>AA329+(L329+1/AN329)*AU329*E329/G329</f>
        <v>766.4535195202706</v>
      </c>
      <c r="AJ329" s="35">
        <f>Z329-273</f>
        <v>767.1811822237664</v>
      </c>
      <c r="AK329" s="35">
        <f>E329*P329/(3600*K329)*(AJ329+273)/273</f>
        <v>13.556737644077273</v>
      </c>
      <c r="AL329" s="35">
        <f>1.723-0.00072545*AJ329-2.1255*N329^0.1+0.00081189*AJ329*N329^0.1+0.00000015846*AJ329^2+1.5631*N329^0.2-0.00000016954*AJ329^2*N329^0.2+257255*AJ329^-0.8*N329^10</f>
        <v>1.0272293445181937</v>
      </c>
      <c r="AM329" s="35">
        <f>H329*AL329*AK329^I329</f>
        <v>96.52335250697722</v>
      </c>
      <c r="AN329" s="35">
        <f>Q329</f>
        <v>100000</v>
      </c>
      <c r="AO329" s="35">
        <f>((0.78+1.6*N329)/(M329*O329*J329)^0.5-0.1)*(1-0.37*Z329/1000)</f>
        <v>2.651607991876204</v>
      </c>
      <c r="AP329" s="35">
        <f>AO329*O329</f>
        <v>0.6369501477826297</v>
      </c>
      <c r="AQ329" s="35">
        <f>1-EXP(-AP329*M329*J329)</f>
        <v>0.13956760815939506</v>
      </c>
      <c r="AR329" s="35">
        <f>0.000000049*(0.82+1)/2*AQ329*Z329^3*(1-(AI329/Z329)^3.6)/(1-AI329/Z329)</f>
        <v>17.750439881643217</v>
      </c>
      <c r="AS329" s="35">
        <f>AM329+AR329</f>
        <v>114.27379238862044</v>
      </c>
      <c r="AT329" s="35">
        <f>1/(1/AS329+L329+1/AN329)</f>
        <v>72.66959756056909</v>
      </c>
      <c r="AU329" s="35">
        <f>AT329*G329*AH329/E329</f>
        <v>372.23078737573917</v>
      </c>
      <c r="AW329" s="35">
        <f aca="true" t="shared" si="12" ref="AW329:AX333">S329</f>
        <v>100</v>
      </c>
      <c r="AX329" s="35">
        <f t="shared" si="12"/>
        <v>0.994</v>
      </c>
      <c r="AY329" s="35">
        <f>Y329</f>
        <v>373.03240517210327</v>
      </c>
      <c r="AZ329" s="35">
        <f>AU329*AX329</f>
        <v>369.9974026514847</v>
      </c>
      <c r="BA329" s="35">
        <f>AY329+AZ329*E329/F329</f>
        <v>410.8023141254314</v>
      </c>
      <c r="BB329" s="35">
        <f>193.897+1.6984*AW329-0.0066353*AW329^2+0.0000121825*AW329^3</f>
        <v>309.56649999999996</v>
      </c>
      <c r="BC329" s="35">
        <f>7.058+0.37694*BA329^1.2-0.000087402*BA329^2.4+5.2177*10^12*BA329^-4*AW329^-2</f>
        <v>359.2826750971181</v>
      </c>
      <c r="BD329" s="35">
        <f>BC329+273</f>
        <v>632.282675097118</v>
      </c>
      <c r="BF329" s="35">
        <f aca="true" t="shared" si="13" ref="BF329:BG333">U329</f>
        <v>1.340408163265306</v>
      </c>
      <c r="BG329" s="35">
        <f t="shared" si="13"/>
        <v>0.02</v>
      </c>
      <c r="BH329" s="35">
        <f>P329</f>
        <v>15.850995918367346</v>
      </c>
      <c r="BI329" s="35">
        <f>X329</f>
        <v>269.38623427374074</v>
      </c>
      <c r="BJ329" s="35">
        <f>BI329-AU329/BH329</f>
        <v>245.90311754765435</v>
      </c>
      <c r="BK329" s="35">
        <f>-17.5+3.51*BJ329+38.864*BF329^-0.5-0.30038*BJ329*BF329^-0.5+0.0044766*BJ329^2-23.072/BF329-0.000058066*BJ329^2/BF329-0.010324*BJ329^1.9+IF(BJ329&lt;200,1.6-1.87*BJ329^0.3+0.2012*BF329-21.75*BG329+0.302*BJ329^0.6,-0.19-0.0006295*BJ329+0.7193*BF329^-0.4+41.38*BG329-0.4254*BJ329*BF329^-0.4*BG329)</f>
        <v>705.5134028718629</v>
      </c>
    </row>
    <row r="330" spans="4:63" ht="15.75">
      <c r="D330" s="4">
        <v>2</v>
      </c>
      <c r="E330" s="35">
        <f aca="true" t="shared" si="14" ref="E330:Q333">E329</f>
        <v>16000</v>
      </c>
      <c r="F330" s="35">
        <f t="shared" si="14"/>
        <v>156737.42951668185</v>
      </c>
      <c r="G330" s="35">
        <f t="shared" si="14"/>
        <v>190.4</v>
      </c>
      <c r="H330" s="35">
        <f t="shared" si="14"/>
        <v>19.664</v>
      </c>
      <c r="I330" s="35">
        <f t="shared" si="14"/>
        <v>0.6</v>
      </c>
      <c r="J330" s="35">
        <f t="shared" si="14"/>
        <v>0.236</v>
      </c>
      <c r="K330" s="35">
        <f t="shared" si="14"/>
        <v>19.8</v>
      </c>
      <c r="L330" s="35">
        <f t="shared" si="14"/>
        <v>0.005</v>
      </c>
      <c r="M330" s="35">
        <f t="shared" si="14"/>
        <v>1</v>
      </c>
      <c r="N330" s="35">
        <f t="shared" si="14"/>
        <v>0.16884818671021506</v>
      </c>
      <c r="O330" s="35">
        <f t="shared" si="14"/>
        <v>0.24021278776277238</v>
      </c>
      <c r="P330" s="35">
        <f t="shared" si="14"/>
        <v>15.850995918367346</v>
      </c>
      <c r="Q330" s="35">
        <f t="shared" si="14"/>
        <v>100000</v>
      </c>
      <c r="S330" s="35">
        <f aca="true" t="shared" si="15" ref="S330:V333">S329</f>
        <v>100</v>
      </c>
      <c r="T330" s="35">
        <f t="shared" si="15"/>
        <v>0.994</v>
      </c>
      <c r="U330" s="35">
        <f t="shared" si="15"/>
        <v>1.340408163265306</v>
      </c>
      <c r="V330" s="35">
        <f t="shared" si="15"/>
        <v>0.02</v>
      </c>
      <c r="X330" s="35">
        <f>AC329</f>
        <v>245.90311754765435</v>
      </c>
      <c r="Y330" s="35">
        <f>AD331</f>
        <v>339.84855167710424</v>
      </c>
      <c r="Z330" s="35">
        <f>AE329</f>
        <v>978.5134028718629</v>
      </c>
      <c r="AA330" s="35">
        <f>AF331</f>
        <v>587.1736722146219</v>
      </c>
      <c r="AC330" s="35">
        <f>BJ330</f>
        <v>225.27134144230723</v>
      </c>
      <c r="AD330" s="35">
        <f>BA330</f>
        <v>373.03240517210327</v>
      </c>
      <c r="AE330" s="35">
        <f>BK330+273</f>
        <v>923.7368886580282</v>
      </c>
      <c r="AF330" s="35">
        <f>BD330</f>
        <v>609.7412300452745</v>
      </c>
      <c r="AH330" s="35">
        <f>Z330-AA330</f>
        <v>391.33973065724103</v>
      </c>
      <c r="AI330" s="35">
        <f>AA330+(L330+1/AN330)*AU330*E330/G330</f>
        <v>724.8578181105022</v>
      </c>
      <c r="AJ330" s="35">
        <f>Z330-273</f>
        <v>705.5134028718629</v>
      </c>
      <c r="AK330" s="35">
        <f>E330*P330/(3600*K330)*(AJ330+273)/273</f>
        <v>12.753018138231845</v>
      </c>
      <c r="AL330" s="35">
        <f>1.723-0.00072545*AJ330-2.1255*N330^0.1+0.00081189*AJ330*N330^0.1+0.00000015846*AJ330^2+1.5631*N330^0.2-0.00000016954*AJ330^2*N330^0.2+257255*AJ330^-0.8*N330^10</f>
        <v>1.0264561449045424</v>
      </c>
      <c r="AM330" s="35">
        <f>H330*AL330*AK330^I330</f>
        <v>92.97796807234911</v>
      </c>
      <c r="AN330" s="35">
        <f>Q330</f>
        <v>100000</v>
      </c>
      <c r="AO330" s="35">
        <f>((0.78+1.6*N330)/(M330*O330*J330)^0.5-0.1)*(1-0.37*Z330/1000)</f>
        <v>2.7499638775333475</v>
      </c>
      <c r="AP330" s="35">
        <f>AO330*O330</f>
        <v>0.6605764892692085</v>
      </c>
      <c r="AQ330" s="35">
        <f>1-EXP(-AP330*M330*J330)</f>
        <v>0.14435187088425805</v>
      </c>
      <c r="AR330" s="35">
        <f>0.000000049*(0.82+1)/2*AQ330*Z330^3*(1-(AI330/Z330)^3.6)/(1-AI330/Z330)</f>
        <v>15.365262273375096</v>
      </c>
      <c r="AS330" s="35">
        <f>AM330+AR330</f>
        <v>108.34323034572421</v>
      </c>
      <c r="AT330" s="35">
        <f>1/(1/AS330+L330+1/AN330)</f>
        <v>70.22508397530882</v>
      </c>
      <c r="AU330" s="35">
        <f>AT330*G330*AH330/E330</f>
        <v>327.03419883452597</v>
      </c>
      <c r="AW330" s="35">
        <f t="shared" si="12"/>
        <v>100</v>
      </c>
      <c r="AX330" s="35">
        <f t="shared" si="12"/>
        <v>0.994</v>
      </c>
      <c r="AY330" s="35">
        <f>Y330</f>
        <v>339.84855167710424</v>
      </c>
      <c r="AZ330" s="35">
        <f>AU330*AX330</f>
        <v>325.0719936415188</v>
      </c>
      <c r="BA330" s="35">
        <f>AY330+AZ330*E330/F330</f>
        <v>373.0324051721032</v>
      </c>
      <c r="BB330" s="35">
        <f>193.897+1.6984*AW330-0.0066353*AW330^2+0.0000121825*AW330^3</f>
        <v>309.56649999999996</v>
      </c>
      <c r="BC330" s="35">
        <f>7.058+0.37694*BA330^1.2-0.000087402*BA330^2.4+5.2177*10^12*BA330^-4*AW330^-2</f>
        <v>336.7412300452745</v>
      </c>
      <c r="BD330" s="35">
        <f>BC330+273</f>
        <v>609.7412300452745</v>
      </c>
      <c r="BF330" s="35">
        <f t="shared" si="13"/>
        <v>1.340408163265306</v>
      </c>
      <c r="BG330" s="35">
        <f t="shared" si="13"/>
        <v>0.02</v>
      </c>
      <c r="BH330" s="35">
        <f>P330</f>
        <v>15.850995918367346</v>
      </c>
      <c r="BI330" s="35">
        <f>X330</f>
        <v>245.90311754765435</v>
      </c>
      <c r="BJ330" s="35">
        <f>BI330-AU330/BH330</f>
        <v>225.27134144230723</v>
      </c>
      <c r="BK330" s="35">
        <f>-17.5+3.51*BJ330+38.864*BF330^-0.5-0.30038*BJ330*BF330^-0.5+0.0044766*BJ330^2-23.072/BF330-0.000058066*BJ330^2/BF330-0.010324*BJ330^1.9+IF(BJ330&lt;200,1.6-1.87*BJ330^0.3+0.2012*BF330-21.75*BG330+0.302*BJ330^0.6,-0.19-0.0006295*BJ330+0.7193*BF330^-0.4+41.38*BG330-0.4254*BJ330*BF330^-0.4*BG330)</f>
        <v>650.7368886580282</v>
      </c>
    </row>
    <row r="331" spans="4:63" ht="15.75">
      <c r="D331" s="4">
        <v>3</v>
      </c>
      <c r="E331" s="35">
        <f t="shared" si="14"/>
        <v>16000</v>
      </c>
      <c r="F331" s="35">
        <f t="shared" si="14"/>
        <v>156737.42951668185</v>
      </c>
      <c r="G331" s="35">
        <f t="shared" si="14"/>
        <v>190.4</v>
      </c>
      <c r="H331" s="35">
        <f t="shared" si="14"/>
        <v>19.664</v>
      </c>
      <c r="I331" s="35">
        <f t="shared" si="14"/>
        <v>0.6</v>
      </c>
      <c r="J331" s="35">
        <f t="shared" si="14"/>
        <v>0.236</v>
      </c>
      <c r="K331" s="35">
        <f t="shared" si="14"/>
        <v>19.8</v>
      </c>
      <c r="L331" s="35">
        <f t="shared" si="14"/>
        <v>0.005</v>
      </c>
      <c r="M331" s="35">
        <f t="shared" si="14"/>
        <v>1</v>
      </c>
      <c r="N331" s="35">
        <f t="shared" si="14"/>
        <v>0.16884818671021506</v>
      </c>
      <c r="O331" s="35">
        <f t="shared" si="14"/>
        <v>0.24021278776277238</v>
      </c>
      <c r="P331" s="35">
        <f t="shared" si="14"/>
        <v>15.850995918367346</v>
      </c>
      <c r="Q331" s="35">
        <f t="shared" si="14"/>
        <v>100000</v>
      </c>
      <c r="S331" s="35">
        <f t="shared" si="15"/>
        <v>100</v>
      </c>
      <c r="T331" s="35">
        <f t="shared" si="15"/>
        <v>0.994</v>
      </c>
      <c r="U331" s="35">
        <f t="shared" si="15"/>
        <v>1.340408163265306</v>
      </c>
      <c r="V331" s="35">
        <f t="shared" si="15"/>
        <v>0.02</v>
      </c>
      <c r="X331" s="35">
        <f>AC330</f>
        <v>225.27134144230723</v>
      </c>
      <c r="Y331" s="35">
        <f>AD332</f>
        <v>310.4036893807102</v>
      </c>
      <c r="Z331" s="35">
        <f>AE330</f>
        <v>923.7368886580282</v>
      </c>
      <c r="AA331" s="35">
        <f>AF332</f>
        <v>565.1505690134345</v>
      </c>
      <c r="AC331" s="35">
        <f>BJ331</f>
        <v>206.96425102426605</v>
      </c>
      <c r="AD331" s="35">
        <f>BA331</f>
        <v>339.84855167710424</v>
      </c>
      <c r="AE331" s="35">
        <f>BK331+273</f>
        <v>874.6330747658003</v>
      </c>
      <c r="AF331" s="35">
        <f>BD331</f>
        <v>587.1736722146219</v>
      </c>
      <c r="AH331" s="35">
        <f>Z331-AA331</f>
        <v>358.5863196445937</v>
      </c>
      <c r="AI331" s="35">
        <f>AA331+(L331+1/AN331)*AU331*E331/G331</f>
        <v>687.3211516708042</v>
      </c>
      <c r="AJ331" s="35">
        <f>Z331-273</f>
        <v>650.7368886580282</v>
      </c>
      <c r="AK331" s="35">
        <f>E331*P331/(3600*K331)*(AJ331+273)/273</f>
        <v>12.039112863896397</v>
      </c>
      <c r="AL331" s="35">
        <f>1.723-0.00072545*AJ331-2.1255*N331^0.1+0.00081189*AJ331*N331^0.1+0.00000015846*AJ331^2+1.5631*N331^0.2-0.00000016954*AJ331^2*N331^0.2+257255*AJ331^-0.8*N331^10</f>
        <v>1.0260226298365878</v>
      </c>
      <c r="AM331" s="35">
        <f>H331*AL331*AK331^I331</f>
        <v>89.78121879021283</v>
      </c>
      <c r="AN331" s="35">
        <f>Q331</f>
        <v>100000</v>
      </c>
      <c r="AO331" s="35">
        <f>((0.78+1.6*N331)/(M331*O331*J331)^0.5-0.1)*(1-0.37*Z331/1000)</f>
        <v>2.837328667142015</v>
      </c>
      <c r="AP331" s="35">
        <f>AO331*O331</f>
        <v>0.6815626289334147</v>
      </c>
      <c r="AQ331" s="35">
        <f>1-EXP(-AP331*M331*J331)</f>
        <v>0.14857918713656104</v>
      </c>
      <c r="AR331" s="35">
        <f>0.000000049*(0.82+1)/2*AQ331*Z331^3*(1-(AI331/Z331)^3.6)/(1-AI331/Z331)</f>
        <v>13.36481603196215</v>
      </c>
      <c r="AS331" s="35">
        <f>AM331+AR331</f>
        <v>103.14603482217498</v>
      </c>
      <c r="AT331" s="35">
        <f>1/(1/AS331+L331+1/AN331)</f>
        <v>68.00411645364345</v>
      </c>
      <c r="AU331" s="35">
        <f>AT331*G331*AH331/E331</f>
        <v>290.18561549355286</v>
      </c>
      <c r="AW331" s="35">
        <f t="shared" si="12"/>
        <v>100</v>
      </c>
      <c r="AX331" s="35">
        <f t="shared" si="12"/>
        <v>0.994</v>
      </c>
      <c r="AY331" s="35">
        <f>Y331</f>
        <v>310.4036893807102</v>
      </c>
      <c r="AZ331" s="35">
        <f>AU331*AX331</f>
        <v>288.4445018005915</v>
      </c>
      <c r="BA331" s="35">
        <f>AY331+AZ331*E331/F331</f>
        <v>339.84855167710424</v>
      </c>
      <c r="BB331" s="35">
        <f>193.897+1.6984*AW331-0.0066353*AW331^2+0.0000121825*AW331^3</f>
        <v>309.56649999999996</v>
      </c>
      <c r="BC331" s="35">
        <f>7.058+0.37694*BA331^1.2-0.000087402*BA331^2.4+5.2177*10^12*BA331^-4*AW331^-2</f>
        <v>314.1736722146219</v>
      </c>
      <c r="BD331" s="35">
        <f>BC331+273</f>
        <v>587.1736722146219</v>
      </c>
      <c r="BF331" s="35">
        <f t="shared" si="13"/>
        <v>1.340408163265306</v>
      </c>
      <c r="BG331" s="35">
        <f t="shared" si="13"/>
        <v>0.02</v>
      </c>
      <c r="BH331" s="35">
        <f>P331</f>
        <v>15.850995918367346</v>
      </c>
      <c r="BI331" s="35">
        <f>X331</f>
        <v>225.27134144230723</v>
      </c>
      <c r="BJ331" s="35">
        <f>BI331-AU331/BH331</f>
        <v>206.96425102426605</v>
      </c>
      <c r="BK331" s="35">
        <f>-17.5+3.51*BJ331+38.864*BF331^-0.5-0.30038*BJ331*BF331^-0.5+0.0044766*BJ331^2-23.072/BF331-0.000058066*BJ331^2/BF331-0.010324*BJ331^1.9+IF(BJ331&lt;200,1.6-1.87*BJ331^0.3+0.2012*BF331-21.75*BG331+0.302*BJ331^0.6,-0.19-0.0006295*BJ331+0.7193*BF331^-0.4+41.38*BG331-0.4254*BJ331*BF331^-0.4*BG331)</f>
        <v>601.6330747658003</v>
      </c>
    </row>
    <row r="332" spans="4:63" ht="15.75">
      <c r="D332" s="4">
        <v>4</v>
      </c>
      <c r="E332" s="35">
        <f t="shared" si="14"/>
        <v>16000</v>
      </c>
      <c r="F332" s="35">
        <f t="shared" si="14"/>
        <v>156737.42951668185</v>
      </c>
      <c r="G332" s="35">
        <f t="shared" si="14"/>
        <v>190.4</v>
      </c>
      <c r="H332" s="35">
        <f t="shared" si="14"/>
        <v>19.664</v>
      </c>
      <c r="I332" s="35">
        <f t="shared" si="14"/>
        <v>0.6</v>
      </c>
      <c r="J332" s="35">
        <f t="shared" si="14"/>
        <v>0.236</v>
      </c>
      <c r="K332" s="35">
        <f t="shared" si="14"/>
        <v>19.8</v>
      </c>
      <c r="L332" s="35">
        <f t="shared" si="14"/>
        <v>0.005</v>
      </c>
      <c r="M332" s="35">
        <f t="shared" si="14"/>
        <v>1</v>
      </c>
      <c r="N332" s="35">
        <f t="shared" si="14"/>
        <v>0.16884818671021506</v>
      </c>
      <c r="O332" s="35">
        <f t="shared" si="14"/>
        <v>0.24021278776277238</v>
      </c>
      <c r="P332" s="35">
        <f t="shared" si="14"/>
        <v>15.850995918367346</v>
      </c>
      <c r="Q332" s="35">
        <f t="shared" si="14"/>
        <v>100000</v>
      </c>
      <c r="S332" s="35">
        <f t="shared" si="15"/>
        <v>100</v>
      </c>
      <c r="T332" s="35">
        <f t="shared" si="15"/>
        <v>0.994</v>
      </c>
      <c r="U332" s="35">
        <f t="shared" si="15"/>
        <v>1.340408163265306</v>
      </c>
      <c r="V332" s="35">
        <f t="shared" si="15"/>
        <v>0.02</v>
      </c>
      <c r="X332" s="35">
        <f>AC331</f>
        <v>206.96425102426605</v>
      </c>
      <c r="Y332" s="35">
        <f>AD333</f>
        <v>284.0632974941275</v>
      </c>
      <c r="Z332" s="35">
        <f>AE331</f>
        <v>874.6330747658003</v>
      </c>
      <c r="AA332" s="35">
        <f>AF333</f>
        <v>543.9874114515449</v>
      </c>
      <c r="AC332" s="35">
        <f>BJ332</f>
        <v>190.58733843896374</v>
      </c>
      <c r="AD332" s="35">
        <f>BA332</f>
        <v>310.40368938071015</v>
      </c>
      <c r="AE332" s="35">
        <f>BK332+273</f>
        <v>830.0174122573114</v>
      </c>
      <c r="AF332" s="35">
        <f>BD332</f>
        <v>565.1505690134345</v>
      </c>
      <c r="AH332" s="35">
        <f>Z332-AA332</f>
        <v>330.64566331425544</v>
      </c>
      <c r="AI332" s="35">
        <f>AA332+(L332+1/AN332)*AU332*E332/G332</f>
        <v>653.2771405667448</v>
      </c>
      <c r="AJ332" s="35">
        <f>Z332-273</f>
        <v>601.6330747658003</v>
      </c>
      <c r="AK332" s="35">
        <f>E332*P332/(3600*K332)*(AJ332+273)/273</f>
        <v>11.399140199867443</v>
      </c>
      <c r="AL332" s="35">
        <f>1.723-0.00072545*AJ332-2.1255*N332^0.1+0.00081189*AJ332*N332^0.1+0.00000015846*AJ332^2+1.5631*N332^0.2-0.00000016954*AJ332^2*N332^0.2+257255*AJ332^-0.8*N332^10</f>
        <v>1.025836610537371</v>
      </c>
      <c r="AM332" s="35">
        <f>H332*AL332*AK332^I332</f>
        <v>86.8706991781953</v>
      </c>
      <c r="AN332" s="35">
        <f>Q332</f>
        <v>100000</v>
      </c>
      <c r="AO332" s="35">
        <f>((0.78+1.6*N332)/(M332*O332*J332)^0.5-0.1)*(1-0.37*Z332/1000)</f>
        <v>2.915645888149009</v>
      </c>
      <c r="AP332" s="35">
        <f>AO332*O332</f>
        <v>0.7003754269213379</v>
      </c>
      <c r="AQ332" s="35">
        <f>1-EXP(-AP332*M332*J332)</f>
        <v>0.15235096336661325</v>
      </c>
      <c r="AR332" s="35">
        <f>0.000000049*(0.82+1)/2*AQ332*Z332^3*(1-(AI332/Z332)^3.6)/(1-AI332/Z332)</f>
        <v>11.677899790224581</v>
      </c>
      <c r="AS332" s="35">
        <f>AM332+AR332</f>
        <v>98.54859896841988</v>
      </c>
      <c r="AT332" s="35">
        <f>1/(1/AS332+L332+1/AN332)</f>
        <v>65.97490791200757</v>
      </c>
      <c r="AU332" s="35">
        <f>AT332*G332*AH332/E332</f>
        <v>259.5903745450857</v>
      </c>
      <c r="AW332" s="35">
        <f t="shared" si="12"/>
        <v>100</v>
      </c>
      <c r="AX332" s="35">
        <f t="shared" si="12"/>
        <v>0.994</v>
      </c>
      <c r="AY332" s="35">
        <f>Y332</f>
        <v>284.0632974941275</v>
      </c>
      <c r="AZ332" s="35">
        <f>AU332*AX332</f>
        <v>258.03283229781516</v>
      </c>
      <c r="BA332" s="35">
        <f>AY332+AZ332*E332/F332</f>
        <v>310.40368938071026</v>
      </c>
      <c r="BB332" s="35">
        <f>193.897+1.6984*AW332-0.0066353*AW332^2+0.0000121825*AW332^3</f>
        <v>309.56649999999996</v>
      </c>
      <c r="BC332" s="35">
        <f>7.058+0.37694*BA332^1.2-0.000087402*BA332^2.4+5.2177*10^12*BA332^-4*AW332^-2</f>
        <v>292.1505690134345</v>
      </c>
      <c r="BD332" s="35">
        <f>BC332+273</f>
        <v>565.1505690134345</v>
      </c>
      <c r="BF332" s="35">
        <f t="shared" si="13"/>
        <v>1.340408163265306</v>
      </c>
      <c r="BG332" s="35">
        <f t="shared" si="13"/>
        <v>0.02</v>
      </c>
      <c r="BH332" s="35">
        <f>P332</f>
        <v>15.850995918367346</v>
      </c>
      <c r="BI332" s="35">
        <f>X332</f>
        <v>206.96425102426605</v>
      </c>
      <c r="BJ332" s="35">
        <f>BI332-AU332/BH332</f>
        <v>190.58733843896374</v>
      </c>
      <c r="BK332" s="35">
        <f>-17.5+3.51*BJ332+38.864*BF332^-0.5-0.30038*BJ332*BF332^-0.5+0.0044766*BJ332^2-23.072/BF332-0.000058066*BJ332^2/BF332-0.010324*BJ332^1.9+IF(BJ332&lt;200,1.6-1.87*BJ332^0.3+0.2012*BF332-21.75*BG332+0.302*BJ332^0.6,-0.19-0.0006295*BJ332+0.7193*BF332^-0.4+41.38*BG332-0.4254*BJ332*BF332^-0.4*BG332)</f>
        <v>557.0174122573114</v>
      </c>
    </row>
    <row r="333" spans="4:63" ht="15.75">
      <c r="D333" s="4">
        <v>5</v>
      </c>
      <c r="E333" s="35">
        <f t="shared" si="14"/>
        <v>16000</v>
      </c>
      <c r="F333" s="35">
        <f t="shared" si="14"/>
        <v>156737.42951668185</v>
      </c>
      <c r="G333" s="35">
        <f t="shared" si="14"/>
        <v>190.4</v>
      </c>
      <c r="H333" s="35">
        <f t="shared" si="14"/>
        <v>19.664</v>
      </c>
      <c r="I333" s="35">
        <f t="shared" si="14"/>
        <v>0.6</v>
      </c>
      <c r="J333" s="35">
        <f t="shared" si="14"/>
        <v>0.236</v>
      </c>
      <c r="K333" s="35">
        <f t="shared" si="14"/>
        <v>19.8</v>
      </c>
      <c r="L333" s="35">
        <f t="shared" si="14"/>
        <v>0.005</v>
      </c>
      <c r="M333" s="35">
        <f t="shared" si="14"/>
        <v>1</v>
      </c>
      <c r="N333" s="35">
        <f t="shared" si="14"/>
        <v>0.16884818671021506</v>
      </c>
      <c r="O333" s="35">
        <f t="shared" si="14"/>
        <v>0.24021278776277238</v>
      </c>
      <c r="P333" s="35">
        <f t="shared" si="14"/>
        <v>15.850995918367346</v>
      </c>
      <c r="Q333" s="35">
        <f t="shared" si="14"/>
        <v>100000</v>
      </c>
      <c r="S333" s="35">
        <f t="shared" si="15"/>
        <v>100</v>
      </c>
      <c r="T333" s="35">
        <f t="shared" si="15"/>
        <v>0.994</v>
      </c>
      <c r="U333" s="35">
        <f t="shared" si="15"/>
        <v>1.340408163265306</v>
      </c>
      <c r="V333" s="35">
        <f t="shared" si="15"/>
        <v>0.02</v>
      </c>
      <c r="X333" s="35">
        <f>AC332</f>
        <v>190.58733843896374</v>
      </c>
      <c r="Y333" s="35">
        <f>Y326</f>
        <v>260</v>
      </c>
      <c r="Z333" s="35">
        <f>AE332</f>
        <v>830.0174122573114</v>
      </c>
      <c r="AA333" s="35">
        <f>AA326</f>
        <v>519</v>
      </c>
      <c r="AC333" s="35">
        <f>BJ333</f>
        <v>175.62618974868224</v>
      </c>
      <c r="AD333" s="35">
        <f>BA333</f>
        <v>284.0632974941275</v>
      </c>
      <c r="AE333" s="35">
        <f>BK333+273</f>
        <v>788.8917163826</v>
      </c>
      <c r="AF333" s="35">
        <f>BD333</f>
        <v>543.9874114515449</v>
      </c>
      <c r="AH333" s="35">
        <f>Z333-AA333</f>
        <v>311.01741225731143</v>
      </c>
      <c r="AI333" s="35">
        <f>AA333+(L333+1/AN333)*AU333*E333/G333</f>
        <v>618.8417668224314</v>
      </c>
      <c r="AJ333" s="35">
        <f>Z333-273</f>
        <v>557.0174122573114</v>
      </c>
      <c r="AK333" s="35">
        <f>E333*P333/(3600*K333)*(AJ333+273)/273</f>
        <v>10.817661855728199</v>
      </c>
      <c r="AL333" s="35">
        <f>1.723-0.00072545*AJ333-2.1255*N333^0.1+0.00081189*AJ333*N333^0.1+0.00000015846*AJ333^2+1.5631*N333^0.2-0.00000016954*AJ333^2*N333^0.2+257255*AJ333^-0.8*N333^10</f>
        <v>1.0258337182099408</v>
      </c>
      <c r="AM333" s="35">
        <f>H333*AL333*AK333^I333</f>
        <v>84.18386801802019</v>
      </c>
      <c r="AN333" s="35">
        <f>Q333</f>
        <v>100000</v>
      </c>
      <c r="AO333" s="35">
        <f>((0.78+1.6*N333)/(M333*O333*J333)^0.5-0.1)*(1-0.37*Z333/1000)</f>
        <v>2.986804815003851</v>
      </c>
      <c r="AP333" s="35">
        <f>AO333*O333</f>
        <v>0.7174687111153467</v>
      </c>
      <c r="AQ333" s="35">
        <f>1-EXP(-AP333*M333*J333)</f>
        <v>0.15576350460512278</v>
      </c>
      <c r="AR333" s="35">
        <f>0.000000049*(0.82+1)/2*AQ333*Z333^3*(1-(AI333/Z333)^3.6)/(1-AI333/Z333)</f>
        <v>10.185425044650307</v>
      </c>
      <c r="AS333" s="35">
        <f>AM333+AR333</f>
        <v>94.3692930626705</v>
      </c>
      <c r="AT333" s="35">
        <f>1/(1/AS333+L333+1/AN333)</f>
        <v>64.07517902970498</v>
      </c>
      <c r="AU333" s="35">
        <f>AT333*G333*AH333/E333</f>
        <v>237.14910682373923</v>
      </c>
      <c r="AW333" s="35">
        <f t="shared" si="12"/>
        <v>100</v>
      </c>
      <c r="AX333" s="35">
        <f t="shared" si="12"/>
        <v>0.994</v>
      </c>
      <c r="AY333" s="35">
        <f>Y333</f>
        <v>260</v>
      </c>
      <c r="AZ333" s="35">
        <f>AU333*AX333</f>
        <v>235.7262121827968</v>
      </c>
      <c r="BA333" s="35">
        <f>AY333+AZ333*E333/F333</f>
        <v>284.0632974941275</v>
      </c>
      <c r="BB333" s="35">
        <f>193.897+1.6984*AW333-0.0066353*AW333^2+0.0000121825*AW333^3</f>
        <v>309.56649999999996</v>
      </c>
      <c r="BC333" s="35">
        <f>7.058+0.37694*BA333^1.2-0.000087402*BA333^2.4+5.2177*10^12*BA333^-4*AW333^-2</f>
        <v>270.98741145154486</v>
      </c>
      <c r="BD333" s="35">
        <f>BC333+273</f>
        <v>543.9874114515449</v>
      </c>
      <c r="BF333" s="35">
        <f t="shared" si="13"/>
        <v>1.340408163265306</v>
      </c>
      <c r="BG333" s="35">
        <f t="shared" si="13"/>
        <v>0.02</v>
      </c>
      <c r="BH333" s="35">
        <f>P333</f>
        <v>15.850995918367346</v>
      </c>
      <c r="BI333" s="35">
        <f>X333</f>
        <v>190.58733843896374</v>
      </c>
      <c r="BJ333" s="35">
        <f>BI333-AU333/BH333</f>
        <v>175.62618974868224</v>
      </c>
      <c r="BK333" s="35">
        <f>-17.5+3.51*BJ333+38.864*BF333^-0.5-0.30038*BJ333*BF333^-0.5+0.0044766*BJ333^2-23.072/BF333-0.000058066*BJ333^2/BF333-0.010324*BJ333^1.9+IF(BJ333&lt;200,1.6-1.87*BJ333^0.3+0.2012*BF333-21.75*BG333+0.302*BJ333^0.6,-0.19-0.0006295*BJ333+0.7193*BF333^-0.4+41.38*BG333-0.4254*BJ333*BF333^-0.4*BG333)</f>
        <v>515.8917163826</v>
      </c>
    </row>
    <row r="336" spans="6:7" ht="15">
      <c r="F336" s="1" t="s">
        <v>1040</v>
      </c>
      <c r="G336" s="1" t="s">
        <v>1057</v>
      </c>
    </row>
    <row r="337" spans="5:27" ht="15.75">
      <c r="E337" s="1" t="s">
        <v>1058</v>
      </c>
      <c r="F337" s="1" t="s">
        <v>1043</v>
      </c>
      <c r="R337" s="1" t="s">
        <v>1059</v>
      </c>
      <c r="S337" s="12" t="s">
        <v>1045</v>
      </c>
      <c r="T337" s="13"/>
      <c r="U337" s="13"/>
      <c r="V337" s="13"/>
      <c r="W337" s="1" t="s">
        <v>1060</v>
      </c>
      <c r="X337" s="12" t="s">
        <v>1047</v>
      </c>
      <c r="Y337" s="13"/>
      <c r="Z337" s="13"/>
      <c r="AA337" s="13"/>
    </row>
    <row r="338" spans="5:27" ht="15">
      <c r="E338" s="24" t="s">
        <v>835</v>
      </c>
      <c r="F338" s="24" t="s">
        <v>1030</v>
      </c>
      <c r="G338" s="24" t="s">
        <v>997</v>
      </c>
      <c r="H338" s="24" t="s">
        <v>1020</v>
      </c>
      <c r="I338" s="24" t="s">
        <v>1021</v>
      </c>
      <c r="J338" s="24" t="s">
        <v>1019</v>
      </c>
      <c r="K338" s="24" t="s">
        <v>1027</v>
      </c>
      <c r="L338" s="24" t="s">
        <v>1028</v>
      </c>
      <c r="M338" s="24" t="s">
        <v>1025</v>
      </c>
      <c r="N338" s="24" t="s">
        <v>1026</v>
      </c>
      <c r="O338" s="24" t="s">
        <v>102</v>
      </c>
      <c r="P338" s="24" t="s">
        <v>699</v>
      </c>
      <c r="Q338" s="24"/>
      <c r="S338" s="24" t="s">
        <v>695</v>
      </c>
      <c r="T338" s="24" t="s">
        <v>840</v>
      </c>
      <c r="U338" s="24" t="s">
        <v>706</v>
      </c>
      <c r="V338" s="24" t="s">
        <v>695</v>
      </c>
      <c r="X338" s="24" t="s">
        <v>1011</v>
      </c>
      <c r="Y338" s="24" t="s">
        <v>1036</v>
      </c>
      <c r="Z338" s="24" t="s">
        <v>992</v>
      </c>
      <c r="AA338" s="24" t="s">
        <v>1029</v>
      </c>
    </row>
    <row r="339" spans="5:27" ht="15">
      <c r="E339" s="4">
        <v>16000</v>
      </c>
      <c r="F339" s="4">
        <v>13.449489349675728</v>
      </c>
      <c r="G339" s="4">
        <v>1084</v>
      </c>
      <c r="H339" s="4">
        <v>4.3685</v>
      </c>
      <c r="I339" s="4">
        <v>0.8</v>
      </c>
      <c r="J339" s="4">
        <v>11.3</v>
      </c>
      <c r="K339" s="4">
        <v>18.774</v>
      </c>
      <c r="L339" s="4">
        <v>0.6</v>
      </c>
      <c r="M339" s="4">
        <v>10.1</v>
      </c>
      <c r="N339" s="4">
        <v>0.75</v>
      </c>
      <c r="O339" s="4">
        <v>0.16442722297719176</v>
      </c>
      <c r="P339" s="4">
        <v>16.336199999999998</v>
      </c>
      <c r="T339" s="4">
        <v>0.994</v>
      </c>
      <c r="U339" s="4">
        <v>1.3859620991253643</v>
      </c>
      <c r="V339" s="4">
        <v>0.02</v>
      </c>
      <c r="X339" s="4">
        <v>238.4175097238821</v>
      </c>
      <c r="Y339" s="4">
        <v>56</v>
      </c>
      <c r="Z339" s="4">
        <v>959.836962470187</v>
      </c>
      <c r="AA339" s="4">
        <v>453</v>
      </c>
    </row>
    <row r="340" spans="28:58" ht="15.75">
      <c r="AB340" s="1" t="s">
        <v>1049</v>
      </c>
      <c r="AC340" s="12" t="s">
        <v>1050</v>
      </c>
      <c r="AD340" s="13"/>
      <c r="AE340" s="13"/>
      <c r="AF340" s="13"/>
      <c r="AI340" s="1" t="s">
        <v>987</v>
      </c>
      <c r="AW340" s="1" t="s">
        <v>1051</v>
      </c>
      <c r="BF340" s="1" t="s">
        <v>1009</v>
      </c>
    </row>
    <row r="341" spans="4:63" ht="15">
      <c r="D341" s="5" t="s">
        <v>1052</v>
      </c>
      <c r="E341" s="3" t="s">
        <v>835</v>
      </c>
      <c r="F341" s="3" t="s">
        <v>1030</v>
      </c>
      <c r="G341" s="3" t="s">
        <v>997</v>
      </c>
      <c r="H341" s="3" t="s">
        <v>1020</v>
      </c>
      <c r="I341" s="3" t="s">
        <v>1021</v>
      </c>
      <c r="J341" s="3" t="s">
        <v>1019</v>
      </c>
      <c r="K341" s="3" t="s">
        <v>1027</v>
      </c>
      <c r="L341" s="3" t="s">
        <v>1028</v>
      </c>
      <c r="M341" s="3" t="s">
        <v>1025</v>
      </c>
      <c r="N341" s="3" t="s">
        <v>1026</v>
      </c>
      <c r="O341" s="3" t="s">
        <v>102</v>
      </c>
      <c r="P341" s="3" t="s">
        <v>699</v>
      </c>
      <c r="T341" s="3" t="s">
        <v>840</v>
      </c>
      <c r="U341" s="3" t="s">
        <v>706</v>
      </c>
      <c r="V341" s="1" t="s">
        <v>695</v>
      </c>
      <c r="X341" s="3" t="s">
        <v>1011</v>
      </c>
      <c r="Y341" s="3" t="s">
        <v>1036</v>
      </c>
      <c r="Z341" s="3" t="s">
        <v>992</v>
      </c>
      <c r="AA341" s="3" t="s">
        <v>1029</v>
      </c>
      <c r="AC341" s="24" t="s">
        <v>1011</v>
      </c>
      <c r="AD341" s="24" t="s">
        <v>1036</v>
      </c>
      <c r="AE341" s="24" t="s">
        <v>992</v>
      </c>
      <c r="AF341" s="24" t="s">
        <v>996</v>
      </c>
      <c r="AH341" s="3" t="s">
        <v>1003</v>
      </c>
      <c r="AI341" s="3" t="s">
        <v>991</v>
      </c>
      <c r="AJ341" s="3" t="s">
        <v>1053</v>
      </c>
      <c r="AK341" s="3" t="s">
        <v>1022</v>
      </c>
      <c r="AL341" s="3" t="s">
        <v>1023</v>
      </c>
      <c r="AM341" s="3" t="s">
        <v>1024</v>
      </c>
      <c r="AN341" s="3" t="s">
        <v>1061</v>
      </c>
      <c r="AO341" s="3" t="s">
        <v>1031</v>
      </c>
      <c r="AP341" s="3" t="s">
        <v>1032</v>
      </c>
      <c r="AQ341" s="3" t="s">
        <v>1033</v>
      </c>
      <c r="AT341" s="3" t="s">
        <v>1002</v>
      </c>
      <c r="AU341" s="3" t="s">
        <v>1004</v>
      </c>
      <c r="AW341" s="3" t="s">
        <v>695</v>
      </c>
      <c r="AX341" s="3" t="s">
        <v>840</v>
      </c>
      <c r="AY341" s="3" t="s">
        <v>1035</v>
      </c>
      <c r="AZ341" s="3" t="s">
        <v>1007</v>
      </c>
      <c r="BA341" s="3" t="s">
        <v>1036</v>
      </c>
      <c r="BC341" s="3" t="s">
        <v>1037</v>
      </c>
      <c r="BD341" s="3" t="s">
        <v>996</v>
      </c>
      <c r="BF341" s="3" t="s">
        <v>706</v>
      </c>
      <c r="BG341" s="1" t="s">
        <v>695</v>
      </c>
      <c r="BH341" s="3" t="s">
        <v>699</v>
      </c>
      <c r="BI341" s="3" t="s">
        <v>1010</v>
      </c>
      <c r="BJ341" s="3" t="s">
        <v>1011</v>
      </c>
      <c r="BK341" s="3" t="s">
        <v>1012</v>
      </c>
    </row>
    <row r="342" spans="4:63" ht="15.75">
      <c r="D342" s="4">
        <v>1</v>
      </c>
      <c r="E342" s="35">
        <f aca="true" t="shared" si="16" ref="E342:P342">E339</f>
        <v>16000</v>
      </c>
      <c r="F342" s="35">
        <f t="shared" si="16"/>
        <v>13.449489349675728</v>
      </c>
      <c r="G342" s="35">
        <f t="shared" si="16"/>
        <v>1084</v>
      </c>
      <c r="H342" s="35">
        <f t="shared" si="16"/>
        <v>4.3685</v>
      </c>
      <c r="I342" s="35">
        <f t="shared" si="16"/>
        <v>0.8</v>
      </c>
      <c r="J342" s="35">
        <f t="shared" si="16"/>
        <v>11.3</v>
      </c>
      <c r="K342" s="35">
        <f t="shared" si="16"/>
        <v>18.774</v>
      </c>
      <c r="L342" s="35">
        <f t="shared" si="16"/>
        <v>0.6</v>
      </c>
      <c r="M342" s="35">
        <f t="shared" si="16"/>
        <v>10.1</v>
      </c>
      <c r="N342" s="35">
        <f t="shared" si="16"/>
        <v>0.75</v>
      </c>
      <c r="O342" s="35">
        <f t="shared" si="16"/>
        <v>0.16442722297719176</v>
      </c>
      <c r="P342" s="35">
        <f t="shared" si="16"/>
        <v>16.336199999999998</v>
      </c>
      <c r="T342" s="35">
        <f>T339</f>
        <v>0.994</v>
      </c>
      <c r="U342" s="35">
        <f>U339</f>
        <v>1.3859620991253643</v>
      </c>
      <c r="V342" s="35">
        <f>V339</f>
        <v>0.02</v>
      </c>
      <c r="X342" s="35">
        <f>X339</f>
        <v>238.4175097238821</v>
      </c>
      <c r="Y342" s="35">
        <f>AD343</f>
        <v>160.31112397515622</v>
      </c>
      <c r="Z342" s="35">
        <f>Z339</f>
        <v>959.836962470187</v>
      </c>
      <c r="AA342" s="35">
        <f>AF343</f>
        <v>770.9568709236876</v>
      </c>
      <c r="AC342" s="35">
        <f>BJ342</f>
        <v>220.6508680781807</v>
      </c>
      <c r="AD342" s="35">
        <f>BA342</f>
        <v>181.76160192894918</v>
      </c>
      <c r="AE342" s="35">
        <f>BK342+273</f>
        <v>912.4303730279378</v>
      </c>
      <c r="AF342" s="35">
        <f>BD342</f>
        <v>834.1572361114813</v>
      </c>
      <c r="AH342" s="35">
        <f>Z342-AA342</f>
        <v>188.88009154649944</v>
      </c>
      <c r="AI342" s="35">
        <f>(Z342+AA342)/2</f>
        <v>865.3969166969373</v>
      </c>
      <c r="AJ342" s="35">
        <f>Z342-273</f>
        <v>686.836962470187</v>
      </c>
      <c r="AK342" s="35">
        <f>E342*P342/(3600*J342)*(AJ342+273)/273</f>
        <v>22.590451102402696</v>
      </c>
      <c r="AL342" s="35">
        <f>1.6256-0.045133*(Z342-273)^0.5+0.4512*O342+0.093678*(Z342-273)^0.5*O342+0.00045725*(Z342-273)+1.5688*O342^2-0.12748*(Z342-273)^0.5*O342^1.2</f>
        <v>0.8942570628920541</v>
      </c>
      <c r="AM342" s="35">
        <f>H342*AL342*AK342^I342</f>
        <v>47.30800582507048</v>
      </c>
      <c r="AN342" s="35">
        <f>AA342-273</f>
        <v>497.9568709236876</v>
      </c>
      <c r="AO342" s="35">
        <f>E342*F342/(3600*M342)*(AN342+273)/273</f>
        <v>16.713574429973704</v>
      </c>
      <c r="AP342" s="35">
        <f>2.2357-0.72908*(AA342-173)^0.1-0.0082964*(AA342-173)^0.2</f>
        <v>0.8241090932699268</v>
      </c>
      <c r="AQ342" s="35">
        <f>K342*AP342*AO342^L342</f>
        <v>83.82684551911449</v>
      </c>
      <c r="AT342" s="35">
        <f>N342/(1/AM342+1/AQ342)</f>
        <v>22.68093219765223</v>
      </c>
      <c r="AU342" s="35">
        <f>AT342*G342*AH342/E342</f>
        <v>290.23941125250684</v>
      </c>
      <c r="AW342" s="35">
        <f>V342</f>
        <v>0.02</v>
      </c>
      <c r="AX342" s="35">
        <f>T342</f>
        <v>0.994</v>
      </c>
      <c r="AY342" s="35">
        <f>Y342</f>
        <v>160.31112397515622</v>
      </c>
      <c r="AZ342" s="35">
        <f>AU342*AX342</f>
        <v>288.4979747849918</v>
      </c>
      <c r="BA342" s="35">
        <f>AY342+AZ342/F342</f>
        <v>181.76160192894915</v>
      </c>
      <c r="BC342" s="35">
        <f>3.2584*BA342-0.00087946*BA342^2-0.56112*BA342*AW342</f>
        <v>561.1572361114813</v>
      </c>
      <c r="BD342" s="35">
        <f>BC342+273</f>
        <v>834.1572361114813</v>
      </c>
      <c r="BF342" s="35">
        <f aca="true" t="shared" si="17" ref="BF342:BG346">U342</f>
        <v>1.3859620991253643</v>
      </c>
      <c r="BG342" s="35">
        <f t="shared" si="17"/>
        <v>0.02</v>
      </c>
      <c r="BH342" s="35">
        <f>P342</f>
        <v>16.336199999999998</v>
      </c>
      <c r="BI342" s="35">
        <f>X342</f>
        <v>238.4175097238821</v>
      </c>
      <c r="BJ342" s="35">
        <f>BI342-AU342/BH342</f>
        <v>220.6508680781807</v>
      </c>
      <c r="BK342" s="35">
        <f>-17.5+3.51*BJ342+38.864*BF342^-0.5-0.30038*BJ342*BF342^-0.5+0.0044766*BJ342^2-23.072/BF342-0.000058066*BJ342^2/BF342-0.010324*BJ342^1.9+IF(BJ342&lt;200,1.6-1.87*BJ342^0.3+0.2012*BF342-21.75*BG342+0.302*BJ342^0.6,-0.19-0.0006295*BJ342+0.7193*BF342^-0.4+41.38*BG342-0.4254*BJ342*BF342^-0.4*BG342)</f>
        <v>639.4303730279378</v>
      </c>
    </row>
    <row r="343" spans="4:63" ht="15.75">
      <c r="D343" s="4">
        <v>2</v>
      </c>
      <c r="E343" s="35">
        <f aca="true" t="shared" si="18" ref="E343:P346">E342</f>
        <v>16000</v>
      </c>
      <c r="F343" s="35">
        <f t="shared" si="18"/>
        <v>13.449489349675728</v>
      </c>
      <c r="G343" s="35">
        <f t="shared" si="18"/>
        <v>1084</v>
      </c>
      <c r="H343" s="35">
        <f t="shared" si="18"/>
        <v>4.3685</v>
      </c>
      <c r="I343" s="35">
        <f t="shared" si="18"/>
        <v>0.8</v>
      </c>
      <c r="J343" s="35">
        <f t="shared" si="18"/>
        <v>11.3</v>
      </c>
      <c r="K343" s="35">
        <f t="shared" si="18"/>
        <v>18.774</v>
      </c>
      <c r="L343" s="35">
        <f t="shared" si="18"/>
        <v>0.6</v>
      </c>
      <c r="M343" s="35">
        <f t="shared" si="18"/>
        <v>10.1</v>
      </c>
      <c r="N343" s="35">
        <f t="shared" si="18"/>
        <v>0.75</v>
      </c>
      <c r="O343" s="35">
        <f t="shared" si="18"/>
        <v>0.16442722297719176</v>
      </c>
      <c r="P343" s="35">
        <f t="shared" si="18"/>
        <v>16.336199999999998</v>
      </c>
      <c r="T343" s="35">
        <f aca="true" t="shared" si="19" ref="T343:V346">T342</f>
        <v>0.994</v>
      </c>
      <c r="U343" s="35">
        <f t="shared" si="19"/>
        <v>1.3859620991253643</v>
      </c>
      <c r="V343" s="35">
        <f t="shared" si="19"/>
        <v>0.02</v>
      </c>
      <c r="X343" s="35">
        <f>AC342</f>
        <v>220.6508680781807</v>
      </c>
      <c r="Y343" s="35">
        <f>AD344</f>
        <v>136.90700033255646</v>
      </c>
      <c r="Z343" s="35">
        <f>AE342</f>
        <v>912.4303730279378</v>
      </c>
      <c r="AA343" s="35">
        <f>AF344</f>
        <v>701.077162736258</v>
      </c>
      <c r="AC343" s="35">
        <f>BJ343</f>
        <v>201.26609359038275</v>
      </c>
      <c r="AD343" s="35">
        <f>BA343</f>
        <v>160.31112397515622</v>
      </c>
      <c r="AE343" s="35">
        <f>BK343+273</f>
        <v>860.1929513233357</v>
      </c>
      <c r="AF343" s="35">
        <f>BD343</f>
        <v>770.9568709236876</v>
      </c>
      <c r="AH343" s="35">
        <f>Z343-AA343</f>
        <v>211.35321029167983</v>
      </c>
      <c r="AI343" s="35">
        <f>(Z343+AA343)/2</f>
        <v>806.7537678820979</v>
      </c>
      <c r="AJ343" s="35">
        <f>Z343-273</f>
        <v>639.4303730279378</v>
      </c>
      <c r="AK343" s="35">
        <f>E343*P343/(3600*J343)*(AJ343+273)/273</f>
        <v>21.47470302996891</v>
      </c>
      <c r="AL343" s="35">
        <f>1.6256-0.045133*(Z343-273)^0.5+0.4512*O343+0.093678*(Z343-273)^0.5*O343+0.00045725*(Z343-273)+1.5688*O343^2-0.12748*(Z343-273)^0.5*O343^1.2</f>
        <v>0.9133989984882032</v>
      </c>
      <c r="AM343" s="35">
        <f>H343*AL343*AK343^I343</f>
        <v>46.40177613943319</v>
      </c>
      <c r="AN343" s="35">
        <f>AA343-273</f>
        <v>428.07716273625795</v>
      </c>
      <c r="AO343" s="35">
        <f>E343*F343/(3600*M343)*(AN343+273)/273</f>
        <v>15.198652197636461</v>
      </c>
      <c r="AP343" s="35">
        <f>2.2357-0.72908*(AA343-173)^0.1-0.0082964*(AA343-173)^0.2</f>
        <v>0.8419067656209858</v>
      </c>
      <c r="AQ343" s="35">
        <f>K343*AP343*AO343^L343</f>
        <v>80.89168074789181</v>
      </c>
      <c r="AT343" s="35">
        <f>N343/(1/AM343+1/AQ343)</f>
        <v>22.115341314805175</v>
      </c>
      <c r="AU343" s="35">
        <f>AT343*G343*AH343/E343</f>
        <v>316.6735529875649</v>
      </c>
      <c r="AW343" s="35">
        <f>V343</f>
        <v>0.02</v>
      </c>
      <c r="AX343" s="35">
        <f>T343</f>
        <v>0.994</v>
      </c>
      <c r="AY343" s="35">
        <f>Y343</f>
        <v>136.90700033255646</v>
      </c>
      <c r="AZ343" s="35">
        <f>AU343*AX343</f>
        <v>314.7735116696395</v>
      </c>
      <c r="BA343" s="35">
        <f>AY343+AZ343/F343</f>
        <v>160.31112397515622</v>
      </c>
      <c r="BC343" s="35">
        <f>3.2584*BA343-0.00087946*BA343^2-0.56112*BA343*AW343</f>
        <v>497.9568709236876</v>
      </c>
      <c r="BD343" s="35">
        <f>BC343+273</f>
        <v>770.9568709236876</v>
      </c>
      <c r="BF343" s="35">
        <f t="shared" si="17"/>
        <v>1.3859620991253643</v>
      </c>
      <c r="BG343" s="35">
        <f t="shared" si="17"/>
        <v>0.02</v>
      </c>
      <c r="BH343" s="35">
        <f>P343</f>
        <v>16.336199999999998</v>
      </c>
      <c r="BI343" s="35">
        <f>X343</f>
        <v>220.6508680781807</v>
      </c>
      <c r="BJ343" s="35">
        <f>BI343-AU343/BH343</f>
        <v>201.26609359038275</v>
      </c>
      <c r="BK343" s="35">
        <f>-17.5+3.51*BJ343+38.864*BF343^-0.5-0.30038*BJ343*BF343^-0.5+0.0044766*BJ343^2-23.072/BF343-0.000058066*BJ343^2/BF343-0.010324*BJ343^1.9+IF(BJ343&lt;200,1.6-1.87*BJ343^0.3+0.2012*BF343-21.75*BG343+0.302*BJ343^0.6,-0.19-0.0006295*BJ343+0.7193*BF343^-0.4+41.38*BG343-0.4254*BJ343*BF343^-0.4*BG343)</f>
        <v>587.1929513233357</v>
      </c>
    </row>
    <row r="344" spans="4:63" ht="15.75">
      <c r="D344" s="4">
        <v>3</v>
      </c>
      <c r="E344" s="35">
        <f t="shared" si="18"/>
        <v>16000</v>
      </c>
      <c r="F344" s="35">
        <f t="shared" si="18"/>
        <v>13.449489349675728</v>
      </c>
      <c r="G344" s="35">
        <f t="shared" si="18"/>
        <v>1084</v>
      </c>
      <c r="H344" s="35">
        <f t="shared" si="18"/>
        <v>4.3685</v>
      </c>
      <c r="I344" s="35">
        <f t="shared" si="18"/>
        <v>0.8</v>
      </c>
      <c r="J344" s="35">
        <f t="shared" si="18"/>
        <v>11.3</v>
      </c>
      <c r="K344" s="35">
        <f t="shared" si="18"/>
        <v>18.774</v>
      </c>
      <c r="L344" s="35">
        <f t="shared" si="18"/>
        <v>0.6</v>
      </c>
      <c r="M344" s="35">
        <f t="shared" si="18"/>
        <v>10.1</v>
      </c>
      <c r="N344" s="35">
        <f t="shared" si="18"/>
        <v>0.75</v>
      </c>
      <c r="O344" s="35">
        <f t="shared" si="18"/>
        <v>0.16442722297719176</v>
      </c>
      <c r="P344" s="35">
        <f t="shared" si="18"/>
        <v>16.336199999999998</v>
      </c>
      <c r="T344" s="35">
        <f t="shared" si="19"/>
        <v>0.994</v>
      </c>
      <c r="U344" s="35">
        <f t="shared" si="19"/>
        <v>1.3859620991253643</v>
      </c>
      <c r="V344" s="35">
        <f t="shared" si="19"/>
        <v>0.02</v>
      </c>
      <c r="X344" s="35">
        <f>AC343</f>
        <v>201.26609359038275</v>
      </c>
      <c r="Y344" s="35">
        <f>AD345</f>
        <v>111.56472854400567</v>
      </c>
      <c r="Z344" s="35">
        <f>AE343</f>
        <v>860.1929513233357</v>
      </c>
      <c r="AA344" s="35">
        <f>AF345</f>
        <v>624.3241226735637</v>
      </c>
      <c r="AC344" s="35">
        <f>BJ344</f>
        <v>180.27602230502308</v>
      </c>
      <c r="AD344" s="35">
        <f>BA344</f>
        <v>136.90700033255644</v>
      </c>
      <c r="AE344" s="35">
        <f>BK344+273</f>
        <v>802.5520997629886</v>
      </c>
      <c r="AF344" s="35">
        <f>BD344</f>
        <v>701.0771627362578</v>
      </c>
      <c r="AH344" s="35">
        <f>Z344-AA344</f>
        <v>235.868828649772</v>
      </c>
      <c r="AI344" s="35">
        <f>(Z344+AA344)/2</f>
        <v>742.2585369984497</v>
      </c>
      <c r="AJ344" s="35">
        <f>Z344-273</f>
        <v>587.1929513233357</v>
      </c>
      <c r="AK344" s="35">
        <f>E344*P344/(3600*J344)*(AJ344+273)/273</f>
        <v>20.245257856596503</v>
      </c>
      <c r="AL344" s="35">
        <f>1.6256-0.045133*(Z344-273)^0.5+0.4512*O344+0.093678*(Z344-273)^0.5*O344+0.00045725*(Z344-273)+1.5688*O344^2-0.12748*(Z344-273)^0.5*O344^1.2</f>
        <v>0.9362858925604511</v>
      </c>
      <c r="AM344" s="35">
        <f>H344*AL344*AK344^I344</f>
        <v>45.37320630563024</v>
      </c>
      <c r="AN344" s="35">
        <f>AA344-273</f>
        <v>351.3241226735637</v>
      </c>
      <c r="AO344" s="35">
        <f>E344*F344/(3600*M344)*(AN344+273)/273</f>
        <v>13.53472299978439</v>
      </c>
      <c r="AP344" s="35">
        <f>2.2357-0.72908*(AA344-173)^0.1-0.0082964*(AA344-173)^0.2</f>
        <v>0.8640721324195307</v>
      </c>
      <c r="AQ344" s="35">
        <f>K344*AP344*AO344^L344</f>
        <v>77.44197771189184</v>
      </c>
      <c r="AT344" s="35">
        <f>N344/(1/AM344+1/AQ344)</f>
        <v>21.457795668020008</v>
      </c>
      <c r="AU344" s="35">
        <f>AT344*G344*AH344/E344</f>
        <v>342.89800253189264</v>
      </c>
      <c r="AW344" s="35">
        <f>V344</f>
        <v>0.02</v>
      </c>
      <c r="AX344" s="35">
        <f>T344</f>
        <v>0.994</v>
      </c>
      <c r="AY344" s="35">
        <f>Y344</f>
        <v>111.56472854400567</v>
      </c>
      <c r="AZ344" s="35">
        <f>AU344*AX344</f>
        <v>340.8406145167013</v>
      </c>
      <c r="BA344" s="35">
        <f>AY344+AZ344/F344</f>
        <v>136.90700033255644</v>
      </c>
      <c r="BC344" s="35">
        <f>3.2584*BA344-0.00087946*BA344^2-0.56112*BA344*AW344</f>
        <v>428.07716273625783</v>
      </c>
      <c r="BD344" s="35">
        <f>BC344+273</f>
        <v>701.0771627362578</v>
      </c>
      <c r="BF344" s="35">
        <f t="shared" si="17"/>
        <v>1.3859620991253643</v>
      </c>
      <c r="BG344" s="35">
        <f t="shared" si="17"/>
        <v>0.02</v>
      </c>
      <c r="BH344" s="35">
        <f>P344</f>
        <v>16.336199999999998</v>
      </c>
      <c r="BI344" s="35">
        <f>X344</f>
        <v>201.26609359038275</v>
      </c>
      <c r="BJ344" s="35">
        <f>BI344-AU344/BH344</f>
        <v>180.27602230502308</v>
      </c>
      <c r="BK344" s="35">
        <f>-17.5+3.51*BJ344+38.864*BF344^-0.5-0.30038*BJ344*BF344^-0.5+0.0044766*BJ344^2-23.072/BF344-0.000058066*BJ344^2/BF344-0.010324*BJ344^1.9+IF(BJ344&lt;200,1.6-1.87*BJ344^0.3+0.2012*BF344-21.75*BG344+0.302*BJ344^0.6,-0.19-0.0006295*BJ344+0.7193*BF344^-0.4+41.38*BG344-0.4254*BJ344*BF344^-0.4*BG344)</f>
        <v>529.5520997629886</v>
      </c>
    </row>
    <row r="345" spans="4:63" ht="15.75">
      <c r="D345" s="4">
        <v>4</v>
      </c>
      <c r="E345" s="35">
        <f t="shared" si="18"/>
        <v>16000</v>
      </c>
      <c r="F345" s="35">
        <f t="shared" si="18"/>
        <v>13.449489349675728</v>
      </c>
      <c r="G345" s="35">
        <f t="shared" si="18"/>
        <v>1084</v>
      </c>
      <c r="H345" s="35">
        <f t="shared" si="18"/>
        <v>4.3685</v>
      </c>
      <c r="I345" s="35">
        <f t="shared" si="18"/>
        <v>0.8</v>
      </c>
      <c r="J345" s="35">
        <f t="shared" si="18"/>
        <v>11.3</v>
      </c>
      <c r="K345" s="35">
        <f t="shared" si="18"/>
        <v>18.774</v>
      </c>
      <c r="L345" s="35">
        <f t="shared" si="18"/>
        <v>0.6</v>
      </c>
      <c r="M345" s="35">
        <f t="shared" si="18"/>
        <v>10.1</v>
      </c>
      <c r="N345" s="35">
        <f t="shared" si="18"/>
        <v>0.75</v>
      </c>
      <c r="O345" s="35">
        <f t="shared" si="18"/>
        <v>0.16442722297719176</v>
      </c>
      <c r="P345" s="35">
        <f t="shared" si="18"/>
        <v>16.336199999999998</v>
      </c>
      <c r="T345" s="35">
        <f t="shared" si="19"/>
        <v>0.994</v>
      </c>
      <c r="U345" s="35">
        <f t="shared" si="19"/>
        <v>1.3859620991253643</v>
      </c>
      <c r="V345" s="35">
        <f t="shared" si="19"/>
        <v>0.02</v>
      </c>
      <c r="X345" s="35">
        <f>AC344</f>
        <v>180.27602230502308</v>
      </c>
      <c r="Y345" s="35">
        <f>AD346</f>
        <v>84.4732526183914</v>
      </c>
      <c r="Z345" s="35">
        <f>AE344</f>
        <v>802.5520997629886</v>
      </c>
      <c r="AA345" s="35">
        <f>AF346</f>
        <v>541.0240642370234</v>
      </c>
      <c r="AC345" s="35">
        <f>BJ345</f>
        <v>157.83714959270543</v>
      </c>
      <c r="AD345" s="35">
        <f>BA345</f>
        <v>111.56472854400567</v>
      </c>
      <c r="AE345" s="35">
        <f>BK345+273</f>
        <v>740.2415312638443</v>
      </c>
      <c r="AF345" s="35">
        <f>BD345</f>
        <v>624.3241226735637</v>
      </c>
      <c r="AH345" s="35">
        <f>Z345-AA345</f>
        <v>261.52803552596527</v>
      </c>
      <c r="AI345" s="35">
        <f>(Z345+AA345)/2</f>
        <v>671.7880820000059</v>
      </c>
      <c r="AJ345" s="35">
        <f>Z345-273</f>
        <v>529.5520997629886</v>
      </c>
      <c r="AK345" s="35">
        <f>E345*P345/(3600*J345)*(AJ345+273)/273</f>
        <v>18.88863908737994</v>
      </c>
      <c r="AL345" s="35">
        <f>1.6256-0.045133*(Z345-273)^0.5+0.4512*O345+0.093678*(Z345-273)^0.5*O345+0.00045725*(Z345-273)+1.5688*O345^2-0.12748*(Z345-273)^0.5*O345^1.2</f>
        <v>0.9640254274983489</v>
      </c>
      <c r="AM345" s="35">
        <f>H345*AL345*AK345^I345</f>
        <v>44.19583708196708</v>
      </c>
      <c r="AN345" s="35">
        <f>AA345-273</f>
        <v>268.02406423702337</v>
      </c>
      <c r="AO345" s="35">
        <f>E345*F345/(3600*M345)*(AN345+273)/273</f>
        <v>11.728860986994722</v>
      </c>
      <c r="AP345" s="35">
        <f>2.2357-0.72908*(AA345-173)^0.1-0.0082964*(AA345-173)^0.2</f>
        <v>0.8923323526739532</v>
      </c>
      <c r="AQ345" s="35">
        <f>K345*AP345*AO345^L345</f>
        <v>73.39001155743362</v>
      </c>
      <c r="AT345" s="35">
        <f>N345/(1/AM345+1/AQ345)</f>
        <v>20.68828667586688</v>
      </c>
      <c r="AU345" s="35">
        <f>AT345*G345*AH345/E345</f>
        <v>366.5659124029634</v>
      </c>
      <c r="AW345" s="35">
        <f>V345</f>
        <v>0.02</v>
      </c>
      <c r="AX345" s="35">
        <f>T345</f>
        <v>0.994</v>
      </c>
      <c r="AY345" s="35">
        <f>Y345</f>
        <v>84.4732526183914</v>
      </c>
      <c r="AZ345" s="35">
        <f>AU345*AX345</f>
        <v>364.36651692854565</v>
      </c>
      <c r="BA345" s="35">
        <f>AY345+AZ345/F345</f>
        <v>111.56472854400567</v>
      </c>
      <c r="BC345" s="35">
        <f>3.2584*BA345-0.00087946*BA345^2-0.56112*BA345*AW345</f>
        <v>351.3241226735637</v>
      </c>
      <c r="BD345" s="35">
        <f>BC345+273</f>
        <v>624.3241226735637</v>
      </c>
      <c r="BF345" s="35">
        <f t="shared" si="17"/>
        <v>1.3859620991253643</v>
      </c>
      <c r="BG345" s="35">
        <f t="shared" si="17"/>
        <v>0.02</v>
      </c>
      <c r="BH345" s="35">
        <f>P345</f>
        <v>16.336199999999998</v>
      </c>
      <c r="BI345" s="35">
        <f>X345</f>
        <v>180.27602230502308</v>
      </c>
      <c r="BJ345" s="35">
        <f>BI345-AU345/BH345</f>
        <v>157.83714959270543</v>
      </c>
      <c r="BK345" s="35">
        <f>-17.5+3.51*BJ345+38.864*BF345^-0.5-0.30038*BJ345*BF345^-0.5+0.0044766*BJ345^2-23.072/BF345-0.000058066*BJ345^2/BF345-0.010324*BJ345^1.9+IF(BJ345&lt;200,1.6-1.87*BJ345^0.3+0.2012*BF345-21.75*BG345+0.302*BJ345^0.6,-0.19-0.0006295*BJ345+0.7193*BF345^-0.4+41.38*BG345-0.4254*BJ345*BF345^-0.4*BG345)</f>
        <v>467.2415312638443</v>
      </c>
    </row>
    <row r="346" spans="4:63" ht="15.75">
      <c r="D346" s="4">
        <v>5</v>
      </c>
      <c r="E346" s="35">
        <f t="shared" si="18"/>
        <v>16000</v>
      </c>
      <c r="F346" s="35">
        <f t="shared" si="18"/>
        <v>13.449489349675728</v>
      </c>
      <c r="G346" s="35">
        <f t="shared" si="18"/>
        <v>1084</v>
      </c>
      <c r="H346" s="35">
        <f t="shared" si="18"/>
        <v>4.3685</v>
      </c>
      <c r="I346" s="35">
        <f t="shared" si="18"/>
        <v>0.8</v>
      </c>
      <c r="J346" s="35">
        <f t="shared" si="18"/>
        <v>11.3</v>
      </c>
      <c r="K346" s="35">
        <f t="shared" si="18"/>
        <v>18.774</v>
      </c>
      <c r="L346" s="35">
        <f t="shared" si="18"/>
        <v>0.6</v>
      </c>
      <c r="M346" s="35">
        <f t="shared" si="18"/>
        <v>10.1</v>
      </c>
      <c r="N346" s="35">
        <f t="shared" si="18"/>
        <v>0.75</v>
      </c>
      <c r="O346" s="35">
        <f t="shared" si="18"/>
        <v>0.16442722297719176</v>
      </c>
      <c r="P346" s="35">
        <f t="shared" si="18"/>
        <v>16.336199999999998</v>
      </c>
      <c r="T346" s="35">
        <f t="shared" si="19"/>
        <v>0.994</v>
      </c>
      <c r="U346" s="35">
        <f t="shared" si="19"/>
        <v>1.3859620991253643</v>
      </c>
      <c r="V346" s="35">
        <f t="shared" si="19"/>
        <v>0.02</v>
      </c>
      <c r="X346" s="35">
        <f>AC345</f>
        <v>157.83714959270543</v>
      </c>
      <c r="Y346" s="35">
        <f>Y339</f>
        <v>56</v>
      </c>
      <c r="Z346" s="35">
        <f>AE345</f>
        <v>740.2415312638443</v>
      </c>
      <c r="AA346" s="35">
        <f>AA339</f>
        <v>453</v>
      </c>
      <c r="AC346" s="35">
        <f>BJ346</f>
        <v>134.2538020865004</v>
      </c>
      <c r="AD346" s="35">
        <f>BA346</f>
        <v>84.4732526183914</v>
      </c>
      <c r="AE346" s="35">
        <f>BK346+273</f>
        <v>673.7947062039327</v>
      </c>
      <c r="AF346" s="35">
        <f>BD346</f>
        <v>541.0240642370234</v>
      </c>
      <c r="AH346" s="35">
        <f>Z346-AA346</f>
        <v>287.2415312638443</v>
      </c>
      <c r="AI346" s="35">
        <f>(Z346+AA346)/2</f>
        <v>596.6207656319222</v>
      </c>
      <c r="AJ346" s="35">
        <f>Z346-273</f>
        <v>467.2415312638443</v>
      </c>
      <c r="AK346" s="35">
        <f>E346*P346/(3600*J346)*(AJ346+273)/273</f>
        <v>17.422115181882234</v>
      </c>
      <c r="AL346" s="35">
        <f>1.6256-0.045133*(Z346-273)^0.5+0.4512*O346+0.093678*(Z346-273)^0.5*O346+0.00045725*(Z346-273)+1.5688*O346^2-0.12748*(Z346-273)^0.5*O346^1.2</f>
        <v>0.9974405342566379</v>
      </c>
      <c r="AM346" s="35">
        <f>H346*AL346*AK346^I346</f>
        <v>42.86472657280202</v>
      </c>
      <c r="AN346" s="35">
        <f>AA346-273</f>
        <v>180</v>
      </c>
      <c r="AO346" s="35">
        <f>E346*F346/(3600*M346)*(AN346+273)/273</f>
        <v>9.820587249850869</v>
      </c>
      <c r="AP346" s="35">
        <f>2.2357-0.72908*(AA346-173)^0.1-0.0082964*(AA346-173)^0.2</f>
        <v>0.9292666897878644</v>
      </c>
      <c r="AQ346" s="35">
        <f>K346*AP346*AO346^L346</f>
        <v>68.70362597220864</v>
      </c>
      <c r="AT346" s="35">
        <f>N346/(1/AM346+1/AQ346)</f>
        <v>19.797026271433108</v>
      </c>
      <c r="AU346" s="35">
        <f>AT346*G346*AH346/E346</f>
        <v>385.26228153086674</v>
      </c>
      <c r="AW346" s="35">
        <f>V346</f>
        <v>0.02</v>
      </c>
      <c r="AX346" s="35">
        <f>T346</f>
        <v>0.994</v>
      </c>
      <c r="AY346" s="35">
        <f>Y346</f>
        <v>56</v>
      </c>
      <c r="AZ346" s="35">
        <f>AU346*AX346</f>
        <v>382.95070784168155</v>
      </c>
      <c r="BA346" s="35">
        <f>AY346+AZ346/F346</f>
        <v>84.4732526183914</v>
      </c>
      <c r="BC346" s="35">
        <f>3.2584*BA346-0.00087946*BA346^2-0.56112*BA346*AW346</f>
        <v>268.0240642370233</v>
      </c>
      <c r="BD346" s="35">
        <f>BC346+273</f>
        <v>541.0240642370234</v>
      </c>
      <c r="BF346" s="35">
        <f t="shared" si="17"/>
        <v>1.3859620991253643</v>
      </c>
      <c r="BG346" s="35">
        <f t="shared" si="17"/>
        <v>0.02</v>
      </c>
      <c r="BH346" s="35">
        <f>P346</f>
        <v>16.336199999999998</v>
      </c>
      <c r="BI346" s="35">
        <f>X346</f>
        <v>157.83714959270543</v>
      </c>
      <c r="BJ346" s="35">
        <f>BI346-AU346/BH346</f>
        <v>134.2538020865004</v>
      </c>
      <c r="BK346" s="35">
        <f>-17.5+3.51*BJ346+38.864*BF346^-0.5-0.30038*BJ346*BF346^-0.5+0.0044766*BJ346^2-23.072/BF346-0.000058066*BJ346^2/BF346-0.010324*BJ346^1.9+IF(BJ346&lt;200,1.6-1.87*BJ346^0.3+0.2012*BF346-21.75*BG346+0.302*BJ346^0.6,-0.19-0.0006295*BJ346+0.7193*BF346^-0.4+41.38*BG346-0.4254*BJ346*BF346^-0.4*BG346)</f>
        <v>400.79470620393266</v>
      </c>
    </row>
    <row r="349" spans="4:9" ht="15">
      <c r="D349" s="2" t="s">
        <v>1062</v>
      </c>
      <c r="E349" s="24" t="s">
        <v>1063</v>
      </c>
      <c r="F349" s="24"/>
      <c r="G349" s="24"/>
      <c r="H349" s="24"/>
      <c r="I349" s="24"/>
    </row>
    <row r="351" spans="3:4" ht="15">
      <c r="C351" s="1" t="s">
        <v>1064</v>
      </c>
      <c r="D351" s="1" t="s">
        <v>1065</v>
      </c>
    </row>
    <row r="352" spans="4:12" ht="15.75">
      <c r="D352" s="7" t="s">
        <v>1066</v>
      </c>
      <c r="E352" s="7" t="s">
        <v>1067</v>
      </c>
      <c r="F352" s="7" t="s">
        <v>1010</v>
      </c>
      <c r="G352" s="7" t="s">
        <v>1068</v>
      </c>
      <c r="H352" s="7" t="s">
        <v>1069</v>
      </c>
      <c r="I352" s="7" t="s">
        <v>1070</v>
      </c>
      <c r="J352" s="7" t="s">
        <v>1071</v>
      </c>
      <c r="K352" s="7" t="s">
        <v>1036</v>
      </c>
      <c r="L352" s="1" t="s">
        <v>695</v>
      </c>
    </row>
    <row r="353" spans="4:12" ht="15">
      <c r="D353" s="4">
        <v>0.07</v>
      </c>
      <c r="E353" s="4">
        <v>14.492424489795917</v>
      </c>
      <c r="F353" s="4">
        <v>424.3052854375869</v>
      </c>
      <c r="G353" s="4">
        <v>0.07805457263527406</v>
      </c>
      <c r="H353" s="4">
        <v>0.7062914398627405</v>
      </c>
      <c r="I353" s="4">
        <v>0.1828017452608597</v>
      </c>
      <c r="J353" s="4">
        <v>0.03285224224112583</v>
      </c>
      <c r="K353" s="4">
        <v>10</v>
      </c>
      <c r="L353" s="4">
        <v>0.02</v>
      </c>
    </row>
    <row r="354" spans="4:12" ht="15.75">
      <c r="D354" s="7" t="s">
        <v>1072</v>
      </c>
      <c r="E354" s="7" t="s">
        <v>699</v>
      </c>
      <c r="F354" s="7" t="s">
        <v>1011</v>
      </c>
      <c r="G354" s="7" t="s">
        <v>645</v>
      </c>
      <c r="H354" s="7" t="s">
        <v>644</v>
      </c>
      <c r="I354" s="7" t="s">
        <v>102</v>
      </c>
      <c r="J354" s="7" t="s">
        <v>646</v>
      </c>
      <c r="K354" s="3" t="s">
        <v>706</v>
      </c>
      <c r="L354" s="7" t="s">
        <v>1012</v>
      </c>
    </row>
    <row r="355" spans="4:12" ht="15.75">
      <c r="D355" s="35">
        <f>D353*9.51/(1-L353)</f>
        <v>0.6792857142857144</v>
      </c>
      <c r="E355" s="35">
        <f>E353+D355</f>
        <v>15.171710204081633</v>
      </c>
      <c r="F355" s="35">
        <f>(F353*E353+K353*D355)/E355</f>
        <v>405.7555202519123</v>
      </c>
      <c r="G355" s="35">
        <f>G353*E353/E355</f>
        <v>0.07455982119245029</v>
      </c>
      <c r="H355" s="35">
        <f>(H353*E353+0.79*D355)/E355</f>
        <v>0.7100393383066066</v>
      </c>
      <c r="I355" s="35">
        <f>(I353*E353+L353*D355)/E355</f>
        <v>0.17551259339011457</v>
      </c>
      <c r="J355" s="35">
        <f>(J353*E353+0.21*D355)/E355</f>
        <v>0.04078371071400611</v>
      </c>
      <c r="K355" s="35">
        <f>1+J355*1.01/(G355*0.21*9.51)</f>
        <v>1.2766326530612244</v>
      </c>
      <c r="L355" s="35">
        <f>-17.5+3.51*F355+38.864*K355^-0.5-0.30038*F355*K355^-0.5+0.0044766*F355^2-23.072/K355-0.000058066*F355^2/K355-0.010324*F355^1.9+IF(F355&lt;200,1.6-1.87*F355^0.3+0.2012*K355-21.75*L353+0.302*F355^0.6,-0.19-0.0006295*F355+0.7193*K355^-0.4+41.38*L353-0.4254*F355*K355^-0.4*L353)</f>
        <v>1110.29844576056</v>
      </c>
    </row>
    <row r="356" spans="9:12" ht="15">
      <c r="I356" s="24" t="s">
        <v>835</v>
      </c>
      <c r="J356" s="24">
        <v>16000</v>
      </c>
      <c r="K356" s="24" t="s">
        <v>1048</v>
      </c>
      <c r="L356" s="24">
        <v>1</v>
      </c>
    </row>
    <row r="357" ht="15">
      <c r="F357" s="1" t="s">
        <v>1073</v>
      </c>
    </row>
    <row r="358" ht="15">
      <c r="E358" s="1" t="s">
        <v>1074</v>
      </c>
    </row>
    <row r="359" spans="4:11" ht="15.75">
      <c r="D359" s="7" t="s">
        <v>1006</v>
      </c>
      <c r="E359" s="7" t="s">
        <v>850</v>
      </c>
      <c r="F359" s="7" t="s">
        <v>855</v>
      </c>
      <c r="G359" s="7" t="s">
        <v>860</v>
      </c>
      <c r="H359" s="7" t="s">
        <v>858</v>
      </c>
      <c r="I359" s="3" t="s">
        <v>109</v>
      </c>
      <c r="J359" s="7" t="s">
        <v>1008</v>
      </c>
      <c r="K359" s="7" t="s">
        <v>1075</v>
      </c>
    </row>
    <row r="360" spans="4:11" ht="15.75">
      <c r="D360" s="35">
        <f>AD392</f>
        <v>793.6029107123403</v>
      </c>
      <c r="E360" s="4">
        <v>304.2330528433562</v>
      </c>
      <c r="F360" s="4">
        <v>15000</v>
      </c>
      <c r="G360" s="4">
        <v>152914.56538212864</v>
      </c>
      <c r="H360" s="4">
        <v>167914.56538212864</v>
      </c>
      <c r="I360" s="4">
        <v>100</v>
      </c>
      <c r="J360" s="35">
        <f>(D360*G360+E360*F360)/H360</f>
        <v>749.8869421105121</v>
      </c>
      <c r="K360" s="35">
        <f>3074.3-3.1077*I360-2.3864*10^7*J360^-1.3+22437.3*I360*J360^-1.3+0.0041697*I360^2+4.8476*10^10*J360^-2.6-177649*I360^2*J360^-2.6</f>
        <v>412.533733721415</v>
      </c>
    </row>
    <row r="362" ht="15">
      <c r="G362" s="1" t="s">
        <v>1041</v>
      </c>
    </row>
    <row r="363" spans="5:27" ht="15.75">
      <c r="E363" s="1" t="s">
        <v>1042</v>
      </c>
      <c r="F363" s="1" t="s">
        <v>1043</v>
      </c>
      <c r="R363" s="1" t="s">
        <v>1044</v>
      </c>
      <c r="S363" s="12" t="s">
        <v>1045</v>
      </c>
      <c r="T363" s="13"/>
      <c r="U363" s="13"/>
      <c r="V363" s="13"/>
      <c r="W363" s="1" t="s">
        <v>1046</v>
      </c>
      <c r="X363" s="12" t="s">
        <v>1047</v>
      </c>
      <c r="Y363" s="13"/>
      <c r="Z363" s="13"/>
      <c r="AA363" s="13"/>
    </row>
    <row r="364" spans="5:27" ht="15">
      <c r="E364" s="24" t="s">
        <v>835</v>
      </c>
      <c r="F364" s="24" t="s">
        <v>984</v>
      </c>
      <c r="G364" s="24" t="s">
        <v>997</v>
      </c>
      <c r="H364" s="24" t="s">
        <v>989</v>
      </c>
      <c r="I364" s="24" t="s">
        <v>990</v>
      </c>
      <c r="J364" s="24" t="s">
        <v>815</v>
      </c>
      <c r="K364" s="24" t="s">
        <v>988</v>
      </c>
      <c r="L364" s="24" t="s">
        <v>995</v>
      </c>
      <c r="M364" s="24" t="s">
        <v>1048</v>
      </c>
      <c r="N364" s="24" t="s">
        <v>102</v>
      </c>
      <c r="O364" s="24" t="s">
        <v>647</v>
      </c>
      <c r="P364" s="24" t="s">
        <v>699</v>
      </c>
      <c r="Q364" s="24" t="s">
        <v>985</v>
      </c>
      <c r="S364" s="24" t="s">
        <v>109</v>
      </c>
      <c r="T364" s="24" t="s">
        <v>840</v>
      </c>
      <c r="U364" s="24" t="s">
        <v>706</v>
      </c>
      <c r="V364" s="24" t="s">
        <v>695</v>
      </c>
      <c r="X364" s="24" t="s">
        <v>1011</v>
      </c>
      <c r="Y364" s="24" t="s">
        <v>1008</v>
      </c>
      <c r="Z364" s="24" t="s">
        <v>992</v>
      </c>
      <c r="AA364" s="24" t="s">
        <v>996</v>
      </c>
    </row>
    <row r="365" spans="5:27" ht="15.75">
      <c r="E365" s="35">
        <f>J356</f>
        <v>16000</v>
      </c>
      <c r="F365" s="35">
        <f>H360</f>
        <v>167914.56538212864</v>
      </c>
      <c r="G365" s="35">
        <f>1600/10</f>
        <v>160</v>
      </c>
      <c r="H365" s="4">
        <v>13.54</v>
      </c>
      <c r="I365" s="4">
        <v>0.64</v>
      </c>
      <c r="J365" s="4">
        <v>0.301</v>
      </c>
      <c r="K365" s="4">
        <v>30.4</v>
      </c>
      <c r="L365" s="4">
        <v>0.005</v>
      </c>
      <c r="M365" s="35">
        <f>L356</f>
        <v>1</v>
      </c>
      <c r="N365" s="35">
        <f>I355</f>
        <v>0.17551259339011457</v>
      </c>
      <c r="O365" s="35">
        <f>N365+G355</f>
        <v>0.25007241458256485</v>
      </c>
      <c r="P365" s="35">
        <f>E355</f>
        <v>15.171710204081633</v>
      </c>
      <c r="Q365" s="4">
        <v>0.1171</v>
      </c>
      <c r="S365" s="35">
        <f>I360</f>
        <v>100</v>
      </c>
      <c r="T365" s="4">
        <v>0.994</v>
      </c>
      <c r="U365" s="35">
        <f>K355</f>
        <v>1.2766326530612244</v>
      </c>
      <c r="V365" s="35">
        <f>L353</f>
        <v>0.02</v>
      </c>
      <c r="X365" s="35">
        <f>F355</f>
        <v>405.7555202519123</v>
      </c>
      <c r="Y365" s="35">
        <f>J360</f>
        <v>749.8869421105121</v>
      </c>
      <c r="Z365" s="35">
        <f>L355+273</f>
        <v>1383.29844576056</v>
      </c>
      <c r="AA365" s="35">
        <f>K360+273</f>
        <v>685.533733721415</v>
      </c>
    </row>
    <row r="366" spans="28:58" ht="15.75">
      <c r="AB366" s="1" t="s">
        <v>1049</v>
      </c>
      <c r="AC366" s="12" t="s">
        <v>1050</v>
      </c>
      <c r="AD366" s="13"/>
      <c r="AE366" s="13"/>
      <c r="AF366" s="13"/>
      <c r="AI366" s="1" t="s">
        <v>987</v>
      </c>
      <c r="AW366" s="1" t="s">
        <v>1051</v>
      </c>
      <c r="BF366" s="1" t="s">
        <v>1009</v>
      </c>
    </row>
    <row r="367" spans="4:63" ht="15">
      <c r="D367" s="5" t="s">
        <v>1052</v>
      </c>
      <c r="E367" s="3" t="s">
        <v>835</v>
      </c>
      <c r="F367" s="3" t="s">
        <v>984</v>
      </c>
      <c r="G367" s="3" t="s">
        <v>997</v>
      </c>
      <c r="H367" s="3" t="s">
        <v>989</v>
      </c>
      <c r="I367" s="3" t="s">
        <v>990</v>
      </c>
      <c r="J367" s="3" t="s">
        <v>815</v>
      </c>
      <c r="K367" s="3" t="s">
        <v>988</v>
      </c>
      <c r="L367" s="3" t="s">
        <v>995</v>
      </c>
      <c r="M367" s="3" t="s">
        <v>1048</v>
      </c>
      <c r="N367" s="3" t="s">
        <v>102</v>
      </c>
      <c r="O367" s="3" t="s">
        <v>647</v>
      </c>
      <c r="P367" s="3" t="s">
        <v>699</v>
      </c>
      <c r="Q367" s="3" t="s">
        <v>985</v>
      </c>
      <c r="S367" s="3" t="s">
        <v>109</v>
      </c>
      <c r="T367" s="3" t="s">
        <v>840</v>
      </c>
      <c r="U367" s="3" t="s">
        <v>706</v>
      </c>
      <c r="V367" s="1" t="s">
        <v>695</v>
      </c>
      <c r="X367" s="3" t="s">
        <v>1011</v>
      </c>
      <c r="Y367" s="3" t="s">
        <v>1008</v>
      </c>
      <c r="Z367" s="3" t="s">
        <v>992</v>
      </c>
      <c r="AA367" s="3" t="s">
        <v>996</v>
      </c>
      <c r="AC367" s="24" t="s">
        <v>1011</v>
      </c>
      <c r="AD367" s="24" t="s">
        <v>1008</v>
      </c>
      <c r="AE367" s="24" t="s">
        <v>992</v>
      </c>
      <c r="AF367" s="24" t="s">
        <v>996</v>
      </c>
      <c r="AH367" s="3" t="s">
        <v>1003</v>
      </c>
      <c r="AI367" s="3" t="s">
        <v>991</v>
      </c>
      <c r="AJ367" s="3" t="s">
        <v>1053</v>
      </c>
      <c r="AK367" s="3" t="s">
        <v>209</v>
      </c>
      <c r="AL367" s="3" t="s">
        <v>206</v>
      </c>
      <c r="AM367" s="3" t="s">
        <v>993</v>
      </c>
      <c r="AN367" s="3" t="s">
        <v>994</v>
      </c>
      <c r="AO367" s="3" t="s">
        <v>820</v>
      </c>
      <c r="AP367" s="3" t="s">
        <v>998</v>
      </c>
      <c r="AQ367" s="3" t="s">
        <v>999</v>
      </c>
      <c r="AR367" s="3" t="s">
        <v>1000</v>
      </c>
      <c r="AS367" s="3" t="s">
        <v>1001</v>
      </c>
      <c r="AT367" s="3" t="s">
        <v>1002</v>
      </c>
      <c r="AU367" s="3" t="s">
        <v>1004</v>
      </c>
      <c r="AW367" s="3" t="s">
        <v>109</v>
      </c>
      <c r="AX367" s="3" t="s">
        <v>840</v>
      </c>
      <c r="AY367" s="3" t="s">
        <v>1006</v>
      </c>
      <c r="AZ367" s="3" t="s">
        <v>1007</v>
      </c>
      <c r="BA367" s="3" t="s">
        <v>1008</v>
      </c>
      <c r="BB367" s="3" t="s">
        <v>865</v>
      </c>
      <c r="BC367" s="3" t="s">
        <v>544</v>
      </c>
      <c r="BD367" s="3" t="s">
        <v>996</v>
      </c>
      <c r="BF367" s="3" t="s">
        <v>706</v>
      </c>
      <c r="BG367" s="1" t="s">
        <v>695</v>
      </c>
      <c r="BH367" s="3" t="s">
        <v>699</v>
      </c>
      <c r="BI367" s="3" t="s">
        <v>1010</v>
      </c>
      <c r="BJ367" s="3" t="s">
        <v>1011</v>
      </c>
      <c r="BK367" s="3" t="s">
        <v>1012</v>
      </c>
    </row>
    <row r="368" spans="4:63" ht="15.75">
      <c r="D368" s="4">
        <v>1</v>
      </c>
      <c r="E368" s="35">
        <f aca="true" t="shared" si="20" ref="E368:Q368">E365</f>
        <v>16000</v>
      </c>
      <c r="F368" s="35">
        <f t="shared" si="20"/>
        <v>167914.56538212864</v>
      </c>
      <c r="G368" s="35">
        <f t="shared" si="20"/>
        <v>160</v>
      </c>
      <c r="H368" s="35">
        <f t="shared" si="20"/>
        <v>13.54</v>
      </c>
      <c r="I368" s="35">
        <f t="shared" si="20"/>
        <v>0.64</v>
      </c>
      <c r="J368" s="35">
        <f t="shared" si="20"/>
        <v>0.301</v>
      </c>
      <c r="K368" s="35">
        <f t="shared" si="20"/>
        <v>30.4</v>
      </c>
      <c r="L368" s="35">
        <f t="shared" si="20"/>
        <v>0.005</v>
      </c>
      <c r="M368" s="35">
        <f t="shared" si="20"/>
        <v>1</v>
      </c>
      <c r="N368" s="35">
        <f t="shared" si="20"/>
        <v>0.17551259339011457</v>
      </c>
      <c r="O368" s="35">
        <f t="shared" si="20"/>
        <v>0.25007241458256485</v>
      </c>
      <c r="P368" s="35">
        <f t="shared" si="20"/>
        <v>15.171710204081633</v>
      </c>
      <c r="Q368" s="35">
        <f t="shared" si="20"/>
        <v>0.1171</v>
      </c>
      <c r="S368" s="35">
        <f>S365</f>
        <v>100</v>
      </c>
      <c r="T368" s="35">
        <f>T365</f>
        <v>0.994</v>
      </c>
      <c r="U368" s="35">
        <f>U365</f>
        <v>1.2766326530612244</v>
      </c>
      <c r="V368" s="35">
        <f>V365</f>
        <v>0.02</v>
      </c>
      <c r="X368" s="35">
        <f>X365</f>
        <v>405.7555202519123</v>
      </c>
      <c r="Y368" s="35">
        <f>Y365</f>
        <v>749.8869421105121</v>
      </c>
      <c r="Z368" s="35">
        <f>Z365</f>
        <v>1383.29844576056</v>
      </c>
      <c r="AA368" s="35">
        <f>AA365</f>
        <v>685.533733721415</v>
      </c>
      <c r="AC368" s="35">
        <f>BJ368</f>
        <v>376.06506632496826</v>
      </c>
      <c r="AD368" s="35">
        <f>BA368</f>
        <v>792.5517086373634</v>
      </c>
      <c r="AE368" s="35">
        <f>BK368+273</f>
        <v>1309.70495645115</v>
      </c>
      <c r="AF368" s="35">
        <f>BD368</f>
        <v>750.5675847072064</v>
      </c>
      <c r="AH368" s="35">
        <f>Z368-AA368</f>
        <v>697.764712039145</v>
      </c>
      <c r="AI368" s="35">
        <f>AA368+(L368+1/AN368)*AU368*E368/G368</f>
        <v>936.1723338452274</v>
      </c>
      <c r="AJ368" s="35">
        <f>Z368-273</f>
        <v>1110.29844576056</v>
      </c>
      <c r="AK368" s="35">
        <f>E368*P368/(3600*K368)*(AJ368+273)/273</f>
        <v>11.239103712719698</v>
      </c>
      <c r="AL368" s="35">
        <f>1.1077-0.002944*AJ368^0.7+0.67936*N368+0.0050854*AJ368^0.7*N368+0.0000089737*AJ368^1.4-2.4659*N368^2-0.000046377*AJ368^1.4*N368^2+23.168*AJ368^-0.1*N368^4</f>
        <v>1.0224372487840918</v>
      </c>
      <c r="AM368" s="35">
        <f>H368*AL368*AK368^I368</f>
        <v>65.12138099696679</v>
      </c>
      <c r="AN368" s="35">
        <f>Q368*F368^0.8</f>
        <v>1772.6687587714298</v>
      </c>
      <c r="AO368" s="35">
        <f>((0.78+1.6*N368)/(M368*O368*J368)^0.5-0.1)*(1-0.37*Z368/1000)</f>
        <v>1.8387614192872639</v>
      </c>
      <c r="AP368" s="35">
        <f>AO368*O368</f>
        <v>0.45982350796243</v>
      </c>
      <c r="AQ368" s="35">
        <f>1-EXP(-AP368*M368*J368)</f>
        <v>0.12925566522096954</v>
      </c>
      <c r="AR368" s="35">
        <f>0.000000049*(0.82+1)/2*AQ368*Z368^3*(1-(AI368/Z368)^3.6)/(1-AI368/Z368)</f>
        <v>35.62311832955218</v>
      </c>
      <c r="AS368" s="35">
        <f>AM368+AR368</f>
        <v>100.74449932651896</v>
      </c>
      <c r="AT368" s="35">
        <f>1/(1/AS368+L368+1/AN368)</f>
        <v>64.55685634930215</v>
      </c>
      <c r="AU368" s="35">
        <f>AT368*G368*AH368/E368</f>
        <v>450.4549628072327</v>
      </c>
      <c r="AW368" s="35">
        <f aca="true" t="shared" si="21" ref="AW368:AX372">S368</f>
        <v>100</v>
      </c>
      <c r="AX368" s="35">
        <f t="shared" si="21"/>
        <v>0.994</v>
      </c>
      <c r="AY368" s="35">
        <f>Y368</f>
        <v>749.8869421105121</v>
      </c>
      <c r="AZ368" s="35">
        <f>AU368*AX368</f>
        <v>447.7522330303893</v>
      </c>
      <c r="BA368" s="35">
        <f>AY368+AZ368*E368/F368</f>
        <v>792.5517086373634</v>
      </c>
      <c r="BB368" s="35">
        <f>193.897+1.6984*AW368-0.0066353*AW368^2+0.0000121825*AW368^3</f>
        <v>309.56649999999996</v>
      </c>
      <c r="BC368" s="35">
        <f>3074.3-3.1077*AW368-2.3864*10^7*BA368^-1.3+22437.3*AW368*BA368^-1.3+0.0041697*AW368^2+4.8476*10^10*BA368^-2.6-177649*AW368^2*BA368^-2.6</f>
        <v>477.5675847072064</v>
      </c>
      <c r="BD368" s="35">
        <f>BC368+273</f>
        <v>750.5675847072064</v>
      </c>
      <c r="BF368" s="35">
        <f aca="true" t="shared" si="22" ref="BF368:BG372">U368</f>
        <v>1.2766326530612244</v>
      </c>
      <c r="BG368" s="35">
        <f t="shared" si="22"/>
        <v>0.02</v>
      </c>
      <c r="BH368" s="35">
        <f>P368</f>
        <v>15.171710204081633</v>
      </c>
      <c r="BI368" s="35">
        <f>X368</f>
        <v>405.7555202519123</v>
      </c>
      <c r="BJ368" s="35">
        <f>BI368-AU368/BH368</f>
        <v>376.06506632496826</v>
      </c>
      <c r="BK368" s="35">
        <f>-17.5+3.51*BJ368+38.864*BF368^-0.5-0.30038*BJ368*BF368^-0.5+0.0044766*BJ368^2-23.072/BF368-0.000058066*BJ368^2/BF368-0.010324*BJ368^1.9+IF(BJ368&lt;200,1.6-1.87*BJ368^0.3+0.2012*BF368-21.75*BG368+0.302*BJ368^0.6,-0.19-0.0006295*BJ368+0.7193*BF368^-0.4+41.38*BG368-0.4254*BJ368*BF368^-0.4*BG368)</f>
        <v>1036.70495645115</v>
      </c>
    </row>
    <row r="369" spans="4:63" ht="15.75">
      <c r="D369" s="4">
        <v>2</v>
      </c>
      <c r="E369" s="35">
        <f aca="true" t="shared" si="23" ref="E369:Q372">E368</f>
        <v>16000</v>
      </c>
      <c r="F369" s="35">
        <f t="shared" si="23"/>
        <v>167914.56538212864</v>
      </c>
      <c r="G369" s="35">
        <f t="shared" si="23"/>
        <v>160</v>
      </c>
      <c r="H369" s="35">
        <f t="shared" si="23"/>
        <v>13.54</v>
      </c>
      <c r="I369" s="35">
        <f t="shared" si="23"/>
        <v>0.64</v>
      </c>
      <c r="J369" s="35">
        <f t="shared" si="23"/>
        <v>0.301</v>
      </c>
      <c r="K369" s="35">
        <f t="shared" si="23"/>
        <v>30.4</v>
      </c>
      <c r="L369" s="35">
        <f t="shared" si="23"/>
        <v>0.005</v>
      </c>
      <c r="M369" s="35">
        <f t="shared" si="23"/>
        <v>1</v>
      </c>
      <c r="N369" s="35">
        <f t="shared" si="23"/>
        <v>0.17551259339011457</v>
      </c>
      <c r="O369" s="35">
        <f t="shared" si="23"/>
        <v>0.25007241458256485</v>
      </c>
      <c r="P369" s="35">
        <f t="shared" si="23"/>
        <v>15.171710204081633</v>
      </c>
      <c r="Q369" s="35">
        <f t="shared" si="23"/>
        <v>0.1171</v>
      </c>
      <c r="S369" s="35">
        <f aca="true" t="shared" si="24" ref="S369:V372">S368</f>
        <v>100</v>
      </c>
      <c r="T369" s="35">
        <f t="shared" si="24"/>
        <v>0.994</v>
      </c>
      <c r="U369" s="35">
        <f t="shared" si="24"/>
        <v>1.2766326530612244</v>
      </c>
      <c r="V369" s="35">
        <f t="shared" si="24"/>
        <v>0.02</v>
      </c>
      <c r="X369" s="35">
        <f aca="true" t="shared" si="25" ref="X369:AA372">AC368</f>
        <v>376.06506632496826</v>
      </c>
      <c r="Y369" s="35">
        <f t="shared" si="25"/>
        <v>792.5517086373634</v>
      </c>
      <c r="Z369" s="35">
        <f t="shared" si="25"/>
        <v>1309.70495645115</v>
      </c>
      <c r="AA369" s="35">
        <f t="shared" si="25"/>
        <v>750.5675847072064</v>
      </c>
      <c r="AC369" s="35">
        <f>BJ369</f>
        <v>352.88573881676496</v>
      </c>
      <c r="AD369" s="35">
        <f>BA369</f>
        <v>825.8600776781429</v>
      </c>
      <c r="AE369" s="35">
        <f>BK369+273</f>
        <v>1251.705431614204</v>
      </c>
      <c r="AF369" s="35">
        <f>BD369</f>
        <v>804.9486578865182</v>
      </c>
      <c r="AH369" s="35">
        <f>Z369-AA369</f>
        <v>559.1373717439437</v>
      </c>
      <c r="AI369" s="35">
        <f>AA369+(L369+1/AN369)*AU369*E369/G369</f>
        <v>946.2410564824293</v>
      </c>
      <c r="AJ369" s="35">
        <f>Z369-273</f>
        <v>1036.70495645115</v>
      </c>
      <c r="AK369" s="35">
        <f>E369*P369/(3600*K369)*(AJ369+273)/273</f>
        <v>10.641167048029368</v>
      </c>
      <c r="AL369" s="35">
        <f>1.1077-0.002944*AJ369^0.7+0.67936*N369+0.0050854*AJ369^0.7*N369+0.0000089737*AJ369^1.4-2.4659*N369^2-0.000046377*AJ369^1.4*N369^2+23.168*AJ369^-0.1*N369^4</f>
        <v>1.0228631454591253</v>
      </c>
      <c r="AM369" s="35">
        <f>H369*AL369*AK369^I369</f>
        <v>62.908498890982855</v>
      </c>
      <c r="AN369" s="35">
        <f>Q369*F369^0.8</f>
        <v>1772.6687587714298</v>
      </c>
      <c r="AO369" s="35">
        <f>((0.78+1.6*N369)/(M369*O369*J369)^0.5-0.1)*(1-0.37*Z369/1000)</f>
        <v>1.941323517401524</v>
      </c>
      <c r="AP369" s="35">
        <f>AO369*O369</f>
        <v>0.48547145948251696</v>
      </c>
      <c r="AQ369" s="35">
        <f>1-EXP(-AP369*M369*J369)</f>
        <v>0.1359519595094647</v>
      </c>
      <c r="AR369" s="35">
        <f>0.000000049*(0.82+1)/2*AQ369*Z369^3*(1-(AI369/Z369)^3.6)/(1-AI369/Z369)</f>
        <v>33.84665057784249</v>
      </c>
      <c r="AS369" s="35">
        <f>AM369+AR369</f>
        <v>96.75514946882535</v>
      </c>
      <c r="AT369" s="35">
        <f>1/(1/AS369+L369+1/AN369)</f>
        <v>62.89510546989597</v>
      </c>
      <c r="AU369" s="35">
        <f>AT369*G369*AH369/E369</f>
        <v>351.67003967995765</v>
      </c>
      <c r="AW369" s="35">
        <f t="shared" si="21"/>
        <v>100</v>
      </c>
      <c r="AX369" s="35">
        <f t="shared" si="21"/>
        <v>0.994</v>
      </c>
      <c r="AY369" s="35">
        <f>Y369</f>
        <v>792.5517086373634</v>
      </c>
      <c r="AZ369" s="35">
        <f>AU369*AX369</f>
        <v>349.5600194418779</v>
      </c>
      <c r="BA369" s="35">
        <f>AY369+AZ369*E369/F369</f>
        <v>825.8600776781429</v>
      </c>
      <c r="BB369" s="35">
        <f>193.897+1.6984*AW369-0.0066353*AW369^2+0.0000121825*AW369^3</f>
        <v>309.56649999999996</v>
      </c>
      <c r="BC369" s="35">
        <f>3074.3-3.1077*AW369-2.3864*10^7*BA369^-1.3+22437.3*AW369*BA369^-1.3+0.0041697*AW369^2+4.8476*10^10*BA369^-2.6-177649*AW369^2*BA369^-2.6</f>
        <v>531.9486578865182</v>
      </c>
      <c r="BD369" s="35">
        <f>BC369+273</f>
        <v>804.9486578865182</v>
      </c>
      <c r="BF369" s="35">
        <f t="shared" si="22"/>
        <v>1.2766326530612244</v>
      </c>
      <c r="BG369" s="35">
        <f t="shared" si="22"/>
        <v>0.02</v>
      </c>
      <c r="BH369" s="35">
        <f>P369</f>
        <v>15.171710204081633</v>
      </c>
      <c r="BI369" s="35">
        <f>X369</f>
        <v>376.06506632496826</v>
      </c>
      <c r="BJ369" s="35">
        <f>BI369-AU369/BH369</f>
        <v>352.88573881676496</v>
      </c>
      <c r="BK369" s="35">
        <f>-17.5+3.51*BJ369+38.864*BF369^-0.5-0.30038*BJ369*BF369^-0.5+0.0044766*BJ369^2-23.072/BF369-0.000058066*BJ369^2/BF369-0.010324*BJ369^1.9+IF(BJ369&lt;200,1.6-1.87*BJ369^0.3+0.2012*BF369-21.75*BG369+0.302*BJ369^0.6,-0.19-0.0006295*BJ369+0.7193*BF369^-0.4+41.38*BG369-0.4254*BJ369*BF369^-0.4*BG369)</f>
        <v>978.7054316142038</v>
      </c>
    </row>
    <row r="370" spans="4:63" ht="15.75">
      <c r="D370" s="4">
        <v>3</v>
      </c>
      <c r="E370" s="35">
        <f t="shared" si="23"/>
        <v>16000</v>
      </c>
      <c r="F370" s="35">
        <f t="shared" si="23"/>
        <v>167914.56538212864</v>
      </c>
      <c r="G370" s="35">
        <f t="shared" si="23"/>
        <v>160</v>
      </c>
      <c r="H370" s="35">
        <f t="shared" si="23"/>
        <v>13.54</v>
      </c>
      <c r="I370" s="35">
        <f t="shared" si="23"/>
        <v>0.64</v>
      </c>
      <c r="J370" s="35">
        <f t="shared" si="23"/>
        <v>0.301</v>
      </c>
      <c r="K370" s="35">
        <f t="shared" si="23"/>
        <v>30.4</v>
      </c>
      <c r="L370" s="35">
        <f t="shared" si="23"/>
        <v>0.005</v>
      </c>
      <c r="M370" s="35">
        <f t="shared" si="23"/>
        <v>1</v>
      </c>
      <c r="N370" s="35">
        <f t="shared" si="23"/>
        <v>0.17551259339011457</v>
      </c>
      <c r="O370" s="35">
        <f t="shared" si="23"/>
        <v>0.25007241458256485</v>
      </c>
      <c r="P370" s="35">
        <f t="shared" si="23"/>
        <v>15.171710204081633</v>
      </c>
      <c r="Q370" s="35">
        <f t="shared" si="23"/>
        <v>0.1171</v>
      </c>
      <c r="S370" s="35">
        <f t="shared" si="24"/>
        <v>100</v>
      </c>
      <c r="T370" s="35">
        <f t="shared" si="24"/>
        <v>0.994</v>
      </c>
      <c r="U370" s="35">
        <f t="shared" si="24"/>
        <v>1.2766326530612244</v>
      </c>
      <c r="V370" s="35">
        <f t="shared" si="24"/>
        <v>0.02</v>
      </c>
      <c r="X370" s="35">
        <f t="shared" si="25"/>
        <v>352.88573881676496</v>
      </c>
      <c r="Y370" s="35">
        <f t="shared" si="25"/>
        <v>825.8600776781429</v>
      </c>
      <c r="Z370" s="35">
        <f t="shared" si="25"/>
        <v>1251.705431614204</v>
      </c>
      <c r="AA370" s="35">
        <f t="shared" si="25"/>
        <v>804.9486578865182</v>
      </c>
      <c r="AC370" s="35">
        <f>BJ370</f>
        <v>334.75148360368564</v>
      </c>
      <c r="AD370" s="35">
        <f>BA370</f>
        <v>851.9187484788018</v>
      </c>
      <c r="AE370" s="35">
        <f>BK370+273</f>
        <v>1205.9728516267132</v>
      </c>
      <c r="AF370" s="35">
        <f>BD370</f>
        <v>848.6568065584685</v>
      </c>
      <c r="AH370" s="35">
        <f>Z370-AA370</f>
        <v>446.75677372768575</v>
      </c>
      <c r="AI370" s="35">
        <f>AA370+(L370+1/AN370)*AU370*E370/G370</f>
        <v>958.0330247364784</v>
      </c>
      <c r="AJ370" s="35">
        <f>Z370-273</f>
        <v>978.7054316142039</v>
      </c>
      <c r="AK370" s="35">
        <f>E370*P370/(3600*K370)*(AJ370+273)/273</f>
        <v>10.169929133370617</v>
      </c>
      <c r="AL370" s="35">
        <f>1.1077-0.002944*AJ370^0.7+0.67936*N370+0.0050854*AJ370^0.7*N370+0.0000089737*AJ370^1.4-2.4659*N370^2-0.000046377*AJ370^1.4*N370^2+23.168*AJ370^-0.1*N370^4</f>
        <v>1.0236488746781813</v>
      </c>
      <c r="AM370" s="35">
        <f>H370*AL370*AK370^I370</f>
        <v>61.157982559927056</v>
      </c>
      <c r="AN370" s="35">
        <f>Q370*F370^0.8</f>
        <v>1772.6687587714298</v>
      </c>
      <c r="AO370" s="35">
        <f>((0.78+1.6*N370)/(M370*O370*J370)^0.5-0.1)*(1-0.37*Z370/1000)</f>
        <v>2.0221533980435167</v>
      </c>
      <c r="AP370" s="35">
        <f>AO370*O370</f>
        <v>0.5056847829050806</v>
      </c>
      <c r="AQ370" s="35">
        <f>1-EXP(-AP370*M370*J370)</f>
        <v>0.14119304942601074</v>
      </c>
      <c r="AR370" s="35">
        <f>0.000000049*(0.82+1)/2*AQ370*Z370^3*(1-(AI370/Z370)^3.6)/(1-AI370/Z370)</f>
        <v>32.527245747630374</v>
      </c>
      <c r="AS370" s="35">
        <f>AM370+AR370</f>
        <v>93.68522830755742</v>
      </c>
      <c r="AT370" s="35">
        <f>1/(1/AS370+L370+1/AN370)</f>
        <v>61.58332252336397</v>
      </c>
      <c r="AU370" s="35">
        <f>AT370*G370*AH370/E370</f>
        <v>275.1276648596961</v>
      </c>
      <c r="AW370" s="35">
        <f t="shared" si="21"/>
        <v>100</v>
      </c>
      <c r="AX370" s="35">
        <f t="shared" si="21"/>
        <v>0.994</v>
      </c>
      <c r="AY370" s="35">
        <f>Y370</f>
        <v>825.8600776781429</v>
      </c>
      <c r="AZ370" s="35">
        <f>AU370*AX370</f>
        <v>273.4768988705379</v>
      </c>
      <c r="BA370" s="35">
        <f>AY370+AZ370*E370/F370</f>
        <v>851.9187484788018</v>
      </c>
      <c r="BB370" s="35">
        <f>193.897+1.6984*AW370-0.0066353*AW370^2+0.0000121825*AW370^3</f>
        <v>309.56649999999996</v>
      </c>
      <c r="BC370" s="35">
        <f>3074.3-3.1077*AW370-2.3864*10^7*BA370^-1.3+22437.3*AW370*BA370^-1.3+0.0041697*AW370^2+4.8476*10^10*BA370^-2.6-177649*AW370^2*BA370^-2.6</f>
        <v>575.6568065584685</v>
      </c>
      <c r="BD370" s="35">
        <f>BC370+273</f>
        <v>848.6568065584685</v>
      </c>
      <c r="BF370" s="35">
        <f t="shared" si="22"/>
        <v>1.2766326530612244</v>
      </c>
      <c r="BG370" s="35">
        <f t="shared" si="22"/>
        <v>0.02</v>
      </c>
      <c r="BH370" s="35">
        <f>P370</f>
        <v>15.171710204081633</v>
      </c>
      <c r="BI370" s="35">
        <f>X370</f>
        <v>352.88573881676496</v>
      </c>
      <c r="BJ370" s="35">
        <f>BI370-AU370/BH370</f>
        <v>334.75148360368564</v>
      </c>
      <c r="BK370" s="35">
        <f>-17.5+3.51*BJ370+38.864*BF370^-0.5-0.30038*BJ370*BF370^-0.5+0.0044766*BJ370^2-23.072/BF370-0.000058066*BJ370^2/BF370-0.010324*BJ370^1.9+IF(BJ370&lt;200,1.6-1.87*BJ370^0.3+0.2012*BF370-21.75*BG370+0.302*BJ370^0.6,-0.19-0.0006295*BJ370+0.7193*BF370^-0.4+41.38*BG370-0.4254*BJ370*BF370^-0.4*BG370)</f>
        <v>932.9728516267132</v>
      </c>
    </row>
    <row r="371" spans="4:63" ht="15.75">
      <c r="D371" s="4">
        <v>4</v>
      </c>
      <c r="E371" s="35">
        <f t="shared" si="23"/>
        <v>16000</v>
      </c>
      <c r="F371" s="35">
        <f t="shared" si="23"/>
        <v>167914.56538212864</v>
      </c>
      <c r="G371" s="35">
        <f t="shared" si="23"/>
        <v>160</v>
      </c>
      <c r="H371" s="35">
        <f t="shared" si="23"/>
        <v>13.54</v>
      </c>
      <c r="I371" s="35">
        <f t="shared" si="23"/>
        <v>0.64</v>
      </c>
      <c r="J371" s="35">
        <f t="shared" si="23"/>
        <v>0.301</v>
      </c>
      <c r="K371" s="35">
        <f t="shared" si="23"/>
        <v>30.4</v>
      </c>
      <c r="L371" s="35">
        <f t="shared" si="23"/>
        <v>0.005</v>
      </c>
      <c r="M371" s="35">
        <f t="shared" si="23"/>
        <v>1</v>
      </c>
      <c r="N371" s="35">
        <f t="shared" si="23"/>
        <v>0.17551259339011457</v>
      </c>
      <c r="O371" s="35">
        <f t="shared" si="23"/>
        <v>0.25007241458256485</v>
      </c>
      <c r="P371" s="35">
        <f t="shared" si="23"/>
        <v>15.171710204081633</v>
      </c>
      <c r="Q371" s="35">
        <f t="shared" si="23"/>
        <v>0.1171</v>
      </c>
      <c r="S371" s="35">
        <f t="shared" si="24"/>
        <v>100</v>
      </c>
      <c r="T371" s="35">
        <f t="shared" si="24"/>
        <v>0.994</v>
      </c>
      <c r="U371" s="35">
        <f t="shared" si="24"/>
        <v>1.2766326530612244</v>
      </c>
      <c r="V371" s="35">
        <f t="shared" si="24"/>
        <v>0.02</v>
      </c>
      <c r="X371" s="35">
        <f t="shared" si="25"/>
        <v>334.75148360368564</v>
      </c>
      <c r="Y371" s="35">
        <f t="shared" si="25"/>
        <v>851.9187484788018</v>
      </c>
      <c r="Z371" s="35">
        <f t="shared" si="25"/>
        <v>1205.9728516267132</v>
      </c>
      <c r="AA371" s="35">
        <f t="shared" si="25"/>
        <v>848.6568065584685</v>
      </c>
      <c r="AC371" s="35">
        <f>BJ371</f>
        <v>320.49316664298476</v>
      </c>
      <c r="AD371" s="35">
        <f>BA371</f>
        <v>872.4077502869585</v>
      </c>
      <c r="AE371" s="35">
        <f>BK371+273</f>
        <v>1169.78277455433</v>
      </c>
      <c r="AF371" s="35">
        <f>BD371</f>
        <v>883.3693454715875</v>
      </c>
      <c r="AH371" s="35">
        <f>Z371-AA371</f>
        <v>357.31604506824476</v>
      </c>
      <c r="AI371" s="35">
        <f>AA371+(L371+1/AN371)*AU371*E371/G371</f>
        <v>969.0215747073504</v>
      </c>
      <c r="AJ371" s="35">
        <f>Z371-273</f>
        <v>932.9728516267132</v>
      </c>
      <c r="AK371" s="35">
        <f>E371*P371/(3600*K371)*(AJ371+273)/273</f>
        <v>9.798358406095597</v>
      </c>
      <c r="AL371" s="35">
        <f>1.1077-0.002944*AJ371^0.7+0.67936*N371+0.0050854*AJ371^0.7*N371+0.0000089737*AJ371^1.4-2.4659*N371^2-0.000046377*AJ371^1.4*N371^2+23.168*AJ371^-0.1*N371^4</f>
        <v>1.024563617216546</v>
      </c>
      <c r="AM371" s="35">
        <f>H371*AL371*AK371^I371</f>
        <v>59.77171536415019</v>
      </c>
      <c r="AN371" s="35">
        <f>Q371*F371^0.8</f>
        <v>1772.6687587714298</v>
      </c>
      <c r="AO371" s="35">
        <f>((0.78+1.6*N371)/(M371*O371*J371)^0.5-0.1)*(1-0.37*Z371/1000)</f>
        <v>2.0858876957335646</v>
      </c>
      <c r="AP371" s="35">
        <f>AO371*O371</f>
        <v>0.5216229726201549</v>
      </c>
      <c r="AQ371" s="35">
        <f>1-EXP(-AP371*M371*J371)</f>
        <v>0.14530321875012375</v>
      </c>
      <c r="AR371" s="35">
        <f>0.000000049*(0.82+1)/2*AQ371*Z371^3*(1-(AI371/Z371)^3.6)/(1-AI371/Z371)</f>
        <v>31.52260291855444</v>
      </c>
      <c r="AS371" s="35">
        <f>AM371+AR371</f>
        <v>91.29431828270464</v>
      </c>
      <c r="AT371" s="35">
        <f>1/(1/AS371+L371+1/AN371)</f>
        <v>60.54109685569251</v>
      </c>
      <c r="AU371" s="35">
        <f>AT371*G371*AH371/E371</f>
        <v>216.32305292569598</v>
      </c>
      <c r="AW371" s="35">
        <f t="shared" si="21"/>
        <v>100</v>
      </c>
      <c r="AX371" s="35">
        <f t="shared" si="21"/>
        <v>0.994</v>
      </c>
      <c r="AY371" s="35">
        <f>Y371</f>
        <v>851.9187484788018</v>
      </c>
      <c r="AZ371" s="35">
        <f>AU371*AX371</f>
        <v>215.0251146081418</v>
      </c>
      <c r="BA371" s="35">
        <f>AY371+AZ371*E371/F371</f>
        <v>872.4077502869585</v>
      </c>
      <c r="BB371" s="35">
        <f>193.897+1.6984*AW371-0.0066353*AW371^2+0.0000121825*AW371^3</f>
        <v>309.56649999999996</v>
      </c>
      <c r="BC371" s="35">
        <f>3074.3-3.1077*AW371-2.3864*10^7*BA371^-1.3+22437.3*AW371*BA371^-1.3+0.0041697*AW371^2+4.8476*10^10*BA371^-2.6-177649*AW371^2*BA371^-2.6</f>
        <v>610.3693454715875</v>
      </c>
      <c r="BD371" s="35">
        <f>BC371+273</f>
        <v>883.3693454715875</v>
      </c>
      <c r="BF371" s="35">
        <f t="shared" si="22"/>
        <v>1.2766326530612244</v>
      </c>
      <c r="BG371" s="35">
        <f t="shared" si="22"/>
        <v>0.02</v>
      </c>
      <c r="BH371" s="35">
        <f>P371</f>
        <v>15.171710204081633</v>
      </c>
      <c r="BI371" s="35">
        <f>X371</f>
        <v>334.75148360368564</v>
      </c>
      <c r="BJ371" s="35">
        <f>BI371-AU371/BH371</f>
        <v>320.49316664298476</v>
      </c>
      <c r="BK371" s="35">
        <f>-17.5+3.51*BJ371+38.864*BF371^-0.5-0.30038*BJ371*BF371^-0.5+0.0044766*BJ371^2-23.072/BF371-0.000058066*BJ371^2/BF371-0.010324*BJ371^1.9+IF(BJ371&lt;200,1.6-1.87*BJ371^0.3+0.2012*BF371-21.75*BG371+0.302*BJ371^0.6,-0.19-0.0006295*BJ371+0.7193*BF371^-0.4+41.38*BG371-0.4254*BJ371*BF371^-0.4*BG371)</f>
        <v>896.78277455433</v>
      </c>
    </row>
    <row r="372" spans="4:63" ht="15.75">
      <c r="D372" s="4">
        <v>5</v>
      </c>
      <c r="E372" s="35">
        <f t="shared" si="23"/>
        <v>16000</v>
      </c>
      <c r="F372" s="35">
        <f t="shared" si="23"/>
        <v>167914.56538212864</v>
      </c>
      <c r="G372" s="35">
        <f t="shared" si="23"/>
        <v>160</v>
      </c>
      <c r="H372" s="35">
        <f t="shared" si="23"/>
        <v>13.54</v>
      </c>
      <c r="I372" s="35">
        <f t="shared" si="23"/>
        <v>0.64</v>
      </c>
      <c r="J372" s="35">
        <f t="shared" si="23"/>
        <v>0.301</v>
      </c>
      <c r="K372" s="35">
        <f t="shared" si="23"/>
        <v>30.4</v>
      </c>
      <c r="L372" s="35">
        <f t="shared" si="23"/>
        <v>0.005</v>
      </c>
      <c r="M372" s="35">
        <f t="shared" si="23"/>
        <v>1</v>
      </c>
      <c r="N372" s="35">
        <f t="shared" si="23"/>
        <v>0.17551259339011457</v>
      </c>
      <c r="O372" s="35">
        <f t="shared" si="23"/>
        <v>0.25007241458256485</v>
      </c>
      <c r="P372" s="35">
        <f t="shared" si="23"/>
        <v>15.171710204081633</v>
      </c>
      <c r="Q372" s="35">
        <f t="shared" si="23"/>
        <v>0.1171</v>
      </c>
      <c r="S372" s="35">
        <f t="shared" si="24"/>
        <v>100</v>
      </c>
      <c r="T372" s="35">
        <f t="shared" si="24"/>
        <v>0.994</v>
      </c>
      <c r="U372" s="35">
        <f t="shared" si="24"/>
        <v>1.2766326530612244</v>
      </c>
      <c r="V372" s="35">
        <f t="shared" si="24"/>
        <v>0.02</v>
      </c>
      <c r="X372" s="35">
        <f t="shared" si="25"/>
        <v>320.49316664298476</v>
      </c>
      <c r="Y372" s="35">
        <f t="shared" si="25"/>
        <v>872.4077502869585</v>
      </c>
      <c r="Z372" s="35">
        <f t="shared" si="25"/>
        <v>1169.78277455433</v>
      </c>
      <c r="AA372" s="35">
        <f t="shared" si="25"/>
        <v>883.3693454715875</v>
      </c>
      <c r="AC372" s="35">
        <f>BJ372</f>
        <v>309.2212051887696</v>
      </c>
      <c r="AD372" s="35">
        <f>BA372</f>
        <v>888.6054010513117</v>
      </c>
      <c r="AE372" s="35">
        <f>BK372+273</f>
        <v>1141.0216258378916</v>
      </c>
      <c r="AF372" s="35">
        <f>BD372</f>
        <v>910.884513226584</v>
      </c>
      <c r="AH372" s="35">
        <f>Z372-AA372</f>
        <v>286.4134290827425</v>
      </c>
      <c r="AI372" s="35">
        <f>AA372+(L372+1/AN372)*AU372*E372/G372</f>
        <v>978.5241264151756</v>
      </c>
      <c r="AJ372" s="35">
        <f>Z372-273</f>
        <v>896.78277455433</v>
      </c>
      <c r="AK372" s="35">
        <f>E372*P372/(3600*K372)*(AJ372+273)/273</f>
        <v>9.504319161828102</v>
      </c>
      <c r="AL372" s="35">
        <f>1.1077-0.002944*AJ372^0.7+0.67936*N372+0.0050854*AJ372^0.7*N372+0.0000089737*AJ372^1.4-2.4659*N372^2-0.000046377*AJ372^1.4*N372^2+23.168*AJ372^-0.1*N372^4</f>
        <v>1.02548048967644</v>
      </c>
      <c r="AM372" s="35">
        <f>H372*AL372*AK372^I372</f>
        <v>58.669922427126274</v>
      </c>
      <c r="AN372" s="35">
        <f>Q372*F372^0.8</f>
        <v>1772.6687587714298</v>
      </c>
      <c r="AO372" s="35">
        <f>((0.78+1.6*N372)/(M372*O372*J372)^0.5-0.1)*(1-0.37*Z372/1000)</f>
        <v>2.136323274618201</v>
      </c>
      <c r="AP372" s="35">
        <f>AO372*O372</f>
        <v>0.5342355196127053</v>
      </c>
      <c r="AQ372" s="35">
        <f>1-EXP(-AP372*M372*J372)</f>
        <v>0.1485418182873025</v>
      </c>
      <c r="AR372" s="35">
        <f>0.000000049*(0.82+1)/2*AQ372*Z372^3*(1-(AI372/Z372)^3.6)/(1-AI372/Z372)</f>
        <v>30.745606898640567</v>
      </c>
      <c r="AS372" s="35">
        <f>AM372+AR372</f>
        <v>89.41552932576684</v>
      </c>
      <c r="AT372" s="35">
        <f>1/(1/AS372+L372+1/AN372)</f>
        <v>59.709118096388565</v>
      </c>
      <c r="AU372" s="35">
        <f>AT372*G372*AH372/E372</f>
        <v>171.0149326149308</v>
      </c>
      <c r="AW372" s="35">
        <f t="shared" si="21"/>
        <v>100</v>
      </c>
      <c r="AX372" s="35">
        <f t="shared" si="21"/>
        <v>0.994</v>
      </c>
      <c r="AY372" s="35">
        <f>Y372</f>
        <v>872.4077502869585</v>
      </c>
      <c r="AZ372" s="35">
        <f>AU372*AX372</f>
        <v>169.98884301924122</v>
      </c>
      <c r="BA372" s="35">
        <f>AY372+AZ372*E372/F372</f>
        <v>888.6054010513117</v>
      </c>
      <c r="BB372" s="35">
        <f>193.897+1.6984*AW372-0.0066353*AW372^2+0.0000121825*AW372^3</f>
        <v>309.56649999999996</v>
      </c>
      <c r="BC372" s="35">
        <f>3074.3-3.1077*AW372-2.3864*10^7*BA372^-1.3+22437.3*AW372*BA372^-1.3+0.0041697*AW372^2+4.8476*10^10*BA372^-2.6-177649*AW372^2*BA372^-2.6</f>
        <v>637.884513226584</v>
      </c>
      <c r="BD372" s="35">
        <f>BC372+273</f>
        <v>910.884513226584</v>
      </c>
      <c r="BF372" s="35">
        <f t="shared" si="22"/>
        <v>1.2766326530612244</v>
      </c>
      <c r="BG372" s="35">
        <f t="shared" si="22"/>
        <v>0.02</v>
      </c>
      <c r="BH372" s="35">
        <f>P372</f>
        <v>15.171710204081633</v>
      </c>
      <c r="BI372" s="35">
        <f>X372</f>
        <v>320.49316664298476</v>
      </c>
      <c r="BJ372" s="35">
        <f>BI372-AU372/BH372</f>
        <v>309.2212051887696</v>
      </c>
      <c r="BK372" s="35">
        <f>-17.5+3.51*BJ372+38.864*BF372^-0.5-0.30038*BJ372*BF372^-0.5+0.0044766*BJ372^2-23.072/BF372-0.000058066*BJ372^2/BF372-0.010324*BJ372^1.9+IF(BJ372&lt;200,1.6-1.87*BJ372^0.3+0.2012*BF372-21.75*BG372+0.302*BJ372^0.6,-0.19-0.0006295*BJ372+0.7193*BF372^-0.4+41.38*BG372-0.4254*BJ372*BF372^-0.4*BG372)</f>
        <v>868.0216258378916</v>
      </c>
    </row>
    <row r="373" ht="15">
      <c r="F373" s="1" t="s">
        <v>1076</v>
      </c>
    </row>
    <row r="375" spans="5:6" ht="15.75">
      <c r="E375" s="2" t="s">
        <v>1077</v>
      </c>
      <c r="F375" s="12" t="s">
        <v>1078</v>
      </c>
    </row>
    <row r="376" spans="4:5" ht="15">
      <c r="D376" s="2" t="s">
        <v>1079</v>
      </c>
      <c r="E376" s="1" t="s">
        <v>1080</v>
      </c>
    </row>
    <row r="377" spans="4:10" ht="15.75">
      <c r="D377" s="18"/>
      <c r="E377" s="18"/>
      <c r="F377" s="18"/>
      <c r="G377" s="7" t="s">
        <v>984</v>
      </c>
      <c r="H377" s="3" t="s">
        <v>109</v>
      </c>
      <c r="I377" s="7" t="s">
        <v>1008</v>
      </c>
      <c r="J377" s="7" t="s">
        <v>1075</v>
      </c>
    </row>
    <row r="378" spans="7:10" ht="15.75">
      <c r="G378" s="35">
        <f>G360</f>
        <v>152914.56538212864</v>
      </c>
      <c r="H378" s="4">
        <v>100</v>
      </c>
      <c r="I378" s="4">
        <v>684.0812730222092</v>
      </c>
      <c r="J378" s="4">
        <v>332.63771714387</v>
      </c>
    </row>
    <row r="380" ht="15">
      <c r="D380" s="1" t="s">
        <v>1081</v>
      </c>
    </row>
    <row r="381" spans="4:12" ht="15.75">
      <c r="D381" s="7" t="s">
        <v>1066</v>
      </c>
      <c r="E381" s="7" t="s">
        <v>1067</v>
      </c>
      <c r="F381" s="7" t="s">
        <v>1010</v>
      </c>
      <c r="G381" s="7" t="s">
        <v>1068</v>
      </c>
      <c r="H381" s="7" t="s">
        <v>1069</v>
      </c>
      <c r="I381" s="7" t="s">
        <v>1070</v>
      </c>
      <c r="J381" s="7" t="s">
        <v>1071</v>
      </c>
      <c r="K381" s="7" t="s">
        <v>1036</v>
      </c>
      <c r="L381" s="1" t="s">
        <v>695</v>
      </c>
    </row>
    <row r="382" spans="4:12" ht="15.75">
      <c r="D382" s="4">
        <v>0.04</v>
      </c>
      <c r="E382" s="35">
        <f>E355</f>
        <v>15.171710204081633</v>
      </c>
      <c r="F382" s="35">
        <f>AC372</f>
        <v>309.2212051887696</v>
      </c>
      <c r="G382" s="35">
        <f>G355</f>
        <v>0.07455982119245029</v>
      </c>
      <c r="H382" s="35">
        <f>H355</f>
        <v>0.7100393383066066</v>
      </c>
      <c r="I382" s="35">
        <f>I355</f>
        <v>0.17551259339011457</v>
      </c>
      <c r="J382" s="35">
        <f>J355</f>
        <v>0.04078371071400611</v>
      </c>
      <c r="K382" s="35">
        <f>K353</f>
        <v>10</v>
      </c>
      <c r="L382" s="35">
        <f>L353</f>
        <v>0.02</v>
      </c>
    </row>
    <row r="383" spans="4:12" ht="15.75">
      <c r="D383" s="7" t="s">
        <v>1072</v>
      </c>
      <c r="E383" s="7" t="s">
        <v>699</v>
      </c>
      <c r="F383" s="7" t="s">
        <v>1011</v>
      </c>
      <c r="G383" s="7" t="s">
        <v>645</v>
      </c>
      <c r="H383" s="7" t="s">
        <v>644</v>
      </c>
      <c r="I383" s="7" t="s">
        <v>102</v>
      </c>
      <c r="J383" s="7" t="s">
        <v>646</v>
      </c>
      <c r="K383" s="3" t="s">
        <v>706</v>
      </c>
      <c r="L383" s="7" t="s">
        <v>1012</v>
      </c>
    </row>
    <row r="384" spans="4:12" ht="15.75">
      <c r="D384" s="35">
        <f>D382*9.51/(1-L382)</f>
        <v>0.3881632653061225</v>
      </c>
      <c r="E384" s="35">
        <f>E382+D384</f>
        <v>15.559873469387755</v>
      </c>
      <c r="F384" s="35">
        <f>(F382*E382+K382*D384)/E384</f>
        <v>301.75670489682244</v>
      </c>
      <c r="G384" s="35">
        <f>G382*E382/E384</f>
        <v>0.07269981997125521</v>
      </c>
      <c r="H384" s="35">
        <f>(H382*E382+0.79*D384)/E384</f>
        <v>0.7120340712072313</v>
      </c>
      <c r="I384" s="35">
        <f>(I382*E382+L382*D384)/E384</f>
        <v>0.17163310965489723</v>
      </c>
      <c r="J384" s="35">
        <f>(J382*E382+0.21*D384)/E384</f>
        <v>0.045005052714084816</v>
      </c>
      <c r="K384" s="35">
        <f>1+J384*1.01/(G384*0.21*9.51)</f>
        <v>1.3130758017492712</v>
      </c>
      <c r="L384" s="35">
        <f>-17.5+3.51*F384+38.864*K384^-0.5-0.30038*F384*K384^-0.5+0.0044766*F384^2-23.072/K384-0.000058066*F384^2/K384-0.010324*F384^1.9+IF(F384&lt;200,1.6-1.87*F384^0.3+0.2012*K384-21.75*L382+0.302*F384^0.6,-0.19-0.0006295*F384+0.7193*K384^-0.4+41.38*L382-0.4254*F384*K384^-0.4*L382)</f>
        <v>850.1753817819738</v>
      </c>
    </row>
    <row r="386" ht="15">
      <c r="G386" s="1" t="s">
        <v>1054</v>
      </c>
    </row>
    <row r="387" spans="5:27" ht="15.75">
      <c r="E387" s="1" t="s">
        <v>1042</v>
      </c>
      <c r="F387" s="1" t="s">
        <v>1043</v>
      </c>
      <c r="R387" s="1" t="s">
        <v>1044</v>
      </c>
      <c r="S387" s="12" t="s">
        <v>1045</v>
      </c>
      <c r="T387" s="13"/>
      <c r="U387" s="13"/>
      <c r="V387" s="13"/>
      <c r="W387" s="1" t="s">
        <v>1046</v>
      </c>
      <c r="X387" s="12" t="s">
        <v>1055</v>
      </c>
      <c r="Y387" s="13"/>
      <c r="Z387" s="13"/>
      <c r="AA387" s="13"/>
    </row>
    <row r="388" spans="5:27" ht="15">
      <c r="E388" s="24" t="s">
        <v>835</v>
      </c>
      <c r="F388" s="24" t="s">
        <v>984</v>
      </c>
      <c r="G388" s="24" t="s">
        <v>997</v>
      </c>
      <c r="H388" s="24" t="s">
        <v>989</v>
      </c>
      <c r="I388" s="24" t="s">
        <v>990</v>
      </c>
      <c r="J388" s="24" t="s">
        <v>815</v>
      </c>
      <c r="K388" s="24" t="s">
        <v>988</v>
      </c>
      <c r="L388" s="24" t="s">
        <v>995</v>
      </c>
      <c r="M388" s="24" t="s">
        <v>1048</v>
      </c>
      <c r="N388" s="24" t="s">
        <v>102</v>
      </c>
      <c r="O388" s="24" t="s">
        <v>647</v>
      </c>
      <c r="P388" s="24" t="s">
        <v>699</v>
      </c>
      <c r="Q388" s="24" t="s">
        <v>985</v>
      </c>
      <c r="S388" s="24" t="s">
        <v>109</v>
      </c>
      <c r="T388" s="24" t="s">
        <v>840</v>
      </c>
      <c r="U388" s="24" t="s">
        <v>706</v>
      </c>
      <c r="V388" s="24" t="s">
        <v>695</v>
      </c>
      <c r="X388" s="24" t="s">
        <v>1011</v>
      </c>
      <c r="Y388" s="24" t="s">
        <v>1008</v>
      </c>
      <c r="Z388" s="24" t="s">
        <v>992</v>
      </c>
      <c r="AA388" s="24" t="s">
        <v>996</v>
      </c>
    </row>
    <row r="389" spans="5:27" ht="15.75">
      <c r="E389" s="35">
        <f>E365</f>
        <v>16000</v>
      </c>
      <c r="F389" s="35">
        <f>G378</f>
        <v>152914.56538212864</v>
      </c>
      <c r="G389" s="35">
        <f>1600/10</f>
        <v>160</v>
      </c>
      <c r="H389" s="4">
        <v>13.54</v>
      </c>
      <c r="I389" s="4">
        <v>0.64</v>
      </c>
      <c r="J389" s="4">
        <v>0.301</v>
      </c>
      <c r="K389" s="4">
        <v>30.4</v>
      </c>
      <c r="L389" s="4">
        <v>0.005</v>
      </c>
      <c r="M389" s="35">
        <f>L356</f>
        <v>1</v>
      </c>
      <c r="N389" s="35">
        <f>I384</f>
        <v>0.17163310965489723</v>
      </c>
      <c r="O389" s="35">
        <f>N389+G384</f>
        <v>0.24433292962615244</v>
      </c>
      <c r="P389" s="35">
        <f>E384</f>
        <v>15.559873469387755</v>
      </c>
      <c r="Q389" s="4">
        <v>0.1171</v>
      </c>
      <c r="S389" s="35">
        <f>H378</f>
        <v>100</v>
      </c>
      <c r="T389" s="4">
        <v>0.994</v>
      </c>
      <c r="U389" s="35">
        <f>K384</f>
        <v>1.3130758017492712</v>
      </c>
      <c r="V389" s="35">
        <f>L382</f>
        <v>0.02</v>
      </c>
      <c r="X389" s="35">
        <f>F384</f>
        <v>301.75670489682244</v>
      </c>
      <c r="Y389" s="35">
        <f>I378</f>
        <v>684.0812730222092</v>
      </c>
      <c r="Z389" s="35">
        <f>L384+273</f>
        <v>1123.1753817819738</v>
      </c>
      <c r="AA389" s="35">
        <f>J378+273</f>
        <v>605.6377171438701</v>
      </c>
    </row>
    <row r="390" spans="28:58" ht="15.75">
      <c r="AB390" s="1" t="s">
        <v>1049</v>
      </c>
      <c r="AC390" s="12" t="s">
        <v>1050</v>
      </c>
      <c r="AD390" s="13"/>
      <c r="AE390" s="13"/>
      <c r="AF390" s="13"/>
      <c r="AI390" s="1" t="s">
        <v>987</v>
      </c>
      <c r="AW390" s="1" t="s">
        <v>1051</v>
      </c>
      <c r="BF390" s="1" t="s">
        <v>1009</v>
      </c>
    </row>
    <row r="391" spans="4:63" ht="15">
      <c r="D391" s="5" t="s">
        <v>1052</v>
      </c>
      <c r="E391" s="3" t="s">
        <v>835</v>
      </c>
      <c r="F391" s="3" t="s">
        <v>984</v>
      </c>
      <c r="G391" s="3" t="s">
        <v>997</v>
      </c>
      <c r="H391" s="3" t="s">
        <v>989</v>
      </c>
      <c r="I391" s="3" t="s">
        <v>990</v>
      </c>
      <c r="J391" s="3" t="s">
        <v>815</v>
      </c>
      <c r="K391" s="3" t="s">
        <v>988</v>
      </c>
      <c r="L391" s="3" t="s">
        <v>995</v>
      </c>
      <c r="M391" s="3" t="s">
        <v>1048</v>
      </c>
      <c r="N391" s="3" t="s">
        <v>102</v>
      </c>
      <c r="O391" s="3" t="s">
        <v>647</v>
      </c>
      <c r="P391" s="3" t="s">
        <v>699</v>
      </c>
      <c r="Q391" s="3" t="s">
        <v>985</v>
      </c>
      <c r="S391" s="3" t="s">
        <v>109</v>
      </c>
      <c r="T391" s="3" t="s">
        <v>840</v>
      </c>
      <c r="U391" s="3" t="s">
        <v>706</v>
      </c>
      <c r="V391" s="1" t="s">
        <v>695</v>
      </c>
      <c r="X391" s="3" t="s">
        <v>1011</v>
      </c>
      <c r="Y391" s="3" t="s">
        <v>1008</v>
      </c>
      <c r="Z391" s="3" t="s">
        <v>992</v>
      </c>
      <c r="AA391" s="3" t="s">
        <v>996</v>
      </c>
      <c r="AC391" s="24" t="s">
        <v>1011</v>
      </c>
      <c r="AD391" s="24" t="s">
        <v>1008</v>
      </c>
      <c r="AE391" s="24" t="s">
        <v>992</v>
      </c>
      <c r="AF391" s="24" t="s">
        <v>996</v>
      </c>
      <c r="AH391" s="3" t="s">
        <v>1003</v>
      </c>
      <c r="AI391" s="3" t="s">
        <v>991</v>
      </c>
      <c r="AJ391" s="3" t="s">
        <v>1053</v>
      </c>
      <c r="AK391" s="3" t="s">
        <v>209</v>
      </c>
      <c r="AL391" s="3" t="s">
        <v>206</v>
      </c>
      <c r="AM391" s="3" t="s">
        <v>993</v>
      </c>
      <c r="AN391" s="3" t="s">
        <v>994</v>
      </c>
      <c r="AO391" s="3" t="s">
        <v>820</v>
      </c>
      <c r="AP391" s="3" t="s">
        <v>998</v>
      </c>
      <c r="AQ391" s="3" t="s">
        <v>999</v>
      </c>
      <c r="AR391" s="3" t="s">
        <v>1000</v>
      </c>
      <c r="AS391" s="3" t="s">
        <v>1001</v>
      </c>
      <c r="AT391" s="3" t="s">
        <v>1002</v>
      </c>
      <c r="AU391" s="3" t="s">
        <v>1004</v>
      </c>
      <c r="AW391" s="3" t="s">
        <v>109</v>
      </c>
      <c r="AX391" s="3" t="s">
        <v>840</v>
      </c>
      <c r="AY391" s="3" t="s">
        <v>1006</v>
      </c>
      <c r="AZ391" s="3" t="s">
        <v>1007</v>
      </c>
      <c r="BA391" s="3" t="s">
        <v>1008</v>
      </c>
      <c r="BB391" s="3" t="s">
        <v>865</v>
      </c>
      <c r="BC391" s="3" t="s">
        <v>544</v>
      </c>
      <c r="BD391" s="3" t="s">
        <v>996</v>
      </c>
      <c r="BF391" s="3" t="s">
        <v>706</v>
      </c>
      <c r="BG391" s="1" t="s">
        <v>695</v>
      </c>
      <c r="BH391" s="3" t="s">
        <v>699</v>
      </c>
      <c r="BI391" s="3" t="s">
        <v>1010</v>
      </c>
      <c r="BJ391" s="3" t="s">
        <v>1011</v>
      </c>
      <c r="BK391" s="3" t="s">
        <v>1012</v>
      </c>
    </row>
    <row r="392" spans="4:63" ht="15.75">
      <c r="D392" s="4">
        <v>1</v>
      </c>
      <c r="E392" s="35">
        <f aca="true" t="shared" si="26" ref="E392:Q392">E389</f>
        <v>16000</v>
      </c>
      <c r="F392" s="35">
        <f t="shared" si="26"/>
        <v>152914.56538212864</v>
      </c>
      <c r="G392" s="35">
        <f t="shared" si="26"/>
        <v>160</v>
      </c>
      <c r="H392" s="35">
        <f t="shared" si="26"/>
        <v>13.54</v>
      </c>
      <c r="I392" s="35">
        <f t="shared" si="26"/>
        <v>0.64</v>
      </c>
      <c r="J392" s="35">
        <f t="shared" si="26"/>
        <v>0.301</v>
      </c>
      <c r="K392" s="35">
        <f t="shared" si="26"/>
        <v>30.4</v>
      </c>
      <c r="L392" s="35">
        <f t="shared" si="26"/>
        <v>0.005</v>
      </c>
      <c r="M392" s="35">
        <f t="shared" si="26"/>
        <v>1</v>
      </c>
      <c r="N392" s="35">
        <f t="shared" si="26"/>
        <v>0.17163310965489723</v>
      </c>
      <c r="O392" s="35">
        <f t="shared" si="26"/>
        <v>0.24433292962615244</v>
      </c>
      <c r="P392" s="35">
        <f t="shared" si="26"/>
        <v>15.559873469387755</v>
      </c>
      <c r="Q392" s="35">
        <f t="shared" si="26"/>
        <v>0.1171</v>
      </c>
      <c r="S392" s="35">
        <f>S389</f>
        <v>100</v>
      </c>
      <c r="T392" s="35">
        <f>T389</f>
        <v>0.994</v>
      </c>
      <c r="U392" s="35">
        <f>U389</f>
        <v>1.3130758017492712</v>
      </c>
      <c r="V392" s="35">
        <f>V389</f>
        <v>0.02</v>
      </c>
      <c r="X392" s="35">
        <f>X389</f>
        <v>301.75670489682244</v>
      </c>
      <c r="Y392" s="35">
        <f>AD393</f>
        <v>769.6186275415437</v>
      </c>
      <c r="Z392" s="35">
        <f>Z389</f>
        <v>1123.1753817819738</v>
      </c>
      <c r="AA392" s="35">
        <f>AF393</f>
        <v>714.76098846188</v>
      </c>
      <c r="AC392" s="35">
        <f>BJ392</f>
        <v>286.9361941838737</v>
      </c>
      <c r="AD392" s="35">
        <f>BA392</f>
        <v>793.6029107123403</v>
      </c>
      <c r="AE392" s="35">
        <f>BK392+273</f>
        <v>1084.95707206734</v>
      </c>
      <c r="AF392" s="35">
        <f>BD392</f>
        <v>752.2466906558029</v>
      </c>
      <c r="AH392" s="35">
        <f>Z392-AA392</f>
        <v>408.41439332009384</v>
      </c>
      <c r="AI392" s="35">
        <f>AA392+(L392+1/AN392)*AU392*E392/G392</f>
        <v>844.083793287054</v>
      </c>
      <c r="AJ392" s="35">
        <f>Z392-273</f>
        <v>850.1753817819738</v>
      </c>
      <c r="AK392" s="35">
        <f>E392*P392/(3600*K392)*(AJ392+273)/273</f>
        <v>9.359117250636633</v>
      </c>
      <c r="AL392" s="35">
        <f>1.1077-0.002944*AJ392^0.7+0.67936*N392+0.0050854*AJ392^0.7*N392+0.0000089737*AJ392^1.4-2.4659*N392^2-0.000046377*AJ392^1.4*N392^2+23.168*AJ392^-0.1*N392^4</f>
        <v>1.025223092287139</v>
      </c>
      <c r="AM392" s="35">
        <f>H392*AL392*AK392^I392</f>
        <v>58.080102280322166</v>
      </c>
      <c r="AN392" s="35">
        <f>Q392*F392^0.8</f>
        <v>1644.8109131775936</v>
      </c>
      <c r="AO392" s="35">
        <f>((0.78+1.6*N392)/(M392*O392*J392)^0.5-0.1)*(1-0.37*Z392/1000)</f>
        <v>2.214286877167674</v>
      </c>
      <c r="AP392" s="35">
        <f>AO392*O392</f>
        <v>0.5410231997311221</v>
      </c>
      <c r="AQ392" s="35">
        <f>1-EXP(-AP392*M392*J392)</f>
        <v>0.15027964956572448</v>
      </c>
      <c r="AR392" s="35">
        <f>0.000000049*(0.82+1)/2*AQ392*Z392^3*(1-(AI392/Z392)^3.6)/(1-AI392/Z392)</f>
        <v>24.546992534248314</v>
      </c>
      <c r="AS392" s="35">
        <f>AM392+AR392</f>
        <v>82.62709481457048</v>
      </c>
      <c r="AT392" s="35">
        <f>1/(1/AS392+L392+1/AN392)</f>
        <v>56.463551534152685</v>
      </c>
      <c r="AU392" s="35">
        <f>AT392*G392*AH392/E392</f>
        <v>230.6052714451882</v>
      </c>
      <c r="AW392" s="35">
        <f aca="true" t="shared" si="27" ref="AW392:AX396">S392</f>
        <v>100</v>
      </c>
      <c r="AX392" s="35">
        <f t="shared" si="27"/>
        <v>0.994</v>
      </c>
      <c r="AY392" s="35">
        <f>Y392</f>
        <v>769.6186275415437</v>
      </c>
      <c r="AZ392" s="35">
        <f>AU392*AX392</f>
        <v>229.22163981651707</v>
      </c>
      <c r="BA392" s="35">
        <f>AY392+AZ392*E392/F392</f>
        <v>793.6029107123403</v>
      </c>
      <c r="BB392" s="35">
        <f>193.897+1.6984*AW392-0.0066353*AW392^2+0.0000121825*AW392^3</f>
        <v>309.56649999999996</v>
      </c>
      <c r="BC392" s="35">
        <f>3074.3-3.1077*AW392-2.3864*10^7*BA392^-1.3+22437.3*AW392*BA392^-1.3+0.0041697*AW392^2+4.8476*10^10*BA392^-2.6-177649*AW392^2*BA392^-2.6</f>
        <v>479.2466906558029</v>
      </c>
      <c r="BD392" s="35">
        <f>BC392+273</f>
        <v>752.2466906558029</v>
      </c>
      <c r="BF392" s="35">
        <f aca="true" t="shared" si="28" ref="BF392:BG396">U392</f>
        <v>1.3130758017492712</v>
      </c>
      <c r="BG392" s="35">
        <f t="shared" si="28"/>
        <v>0.02</v>
      </c>
      <c r="BH392" s="35">
        <f>P392</f>
        <v>15.559873469387755</v>
      </c>
      <c r="BI392" s="35">
        <f>X392</f>
        <v>301.75670489682244</v>
      </c>
      <c r="BJ392" s="35">
        <f>BI392-AU392/BH392</f>
        <v>286.9361941838737</v>
      </c>
      <c r="BK392" s="35">
        <f>-17.5+3.51*BJ392+38.864*BF392^-0.5-0.30038*BJ392*BF392^-0.5+0.0044766*BJ392^2-23.072/BF392-0.000058066*BJ392^2/BF392-0.010324*BJ392^1.9+IF(BJ392&lt;200,1.6-1.87*BJ392^0.3+0.2012*BF392-21.75*BG392+0.302*BJ392^0.6,-0.19-0.0006295*BJ392+0.7193*BF392^-0.4+41.38*BG392-0.4254*BJ392*BF392^-0.4*BG392)</f>
        <v>811.9570720673399</v>
      </c>
    </row>
    <row r="393" spans="4:63" ht="15.75">
      <c r="D393" s="4">
        <v>2</v>
      </c>
      <c r="E393" s="35">
        <f aca="true" t="shared" si="29" ref="E393:Q396">E392</f>
        <v>16000</v>
      </c>
      <c r="F393" s="35">
        <f t="shared" si="29"/>
        <v>152914.56538212864</v>
      </c>
      <c r="G393" s="35">
        <f t="shared" si="29"/>
        <v>160</v>
      </c>
      <c r="H393" s="35">
        <f t="shared" si="29"/>
        <v>13.54</v>
      </c>
      <c r="I393" s="35">
        <f t="shared" si="29"/>
        <v>0.64</v>
      </c>
      <c r="J393" s="35">
        <f t="shared" si="29"/>
        <v>0.301</v>
      </c>
      <c r="K393" s="35">
        <f t="shared" si="29"/>
        <v>30.4</v>
      </c>
      <c r="L393" s="35">
        <f t="shared" si="29"/>
        <v>0.005</v>
      </c>
      <c r="M393" s="35">
        <f t="shared" si="29"/>
        <v>1</v>
      </c>
      <c r="N393" s="35">
        <f t="shared" si="29"/>
        <v>0.17163310965489723</v>
      </c>
      <c r="O393" s="35">
        <f t="shared" si="29"/>
        <v>0.24433292962615244</v>
      </c>
      <c r="P393" s="35">
        <f t="shared" si="29"/>
        <v>15.559873469387755</v>
      </c>
      <c r="Q393" s="35">
        <f t="shared" si="29"/>
        <v>0.1171</v>
      </c>
      <c r="S393" s="35">
        <f aca="true" t="shared" si="30" ref="S393:V396">S392</f>
        <v>100</v>
      </c>
      <c r="T393" s="35">
        <f t="shared" si="30"/>
        <v>0.994</v>
      </c>
      <c r="U393" s="35">
        <f t="shared" si="30"/>
        <v>1.3130758017492712</v>
      </c>
      <c r="V393" s="35">
        <f t="shared" si="30"/>
        <v>0.02</v>
      </c>
      <c r="X393" s="35">
        <f>AC392</f>
        <v>286.9361941838737</v>
      </c>
      <c r="Y393" s="35">
        <f>AD394</f>
        <v>746.5621445391039</v>
      </c>
      <c r="Z393" s="35">
        <f>AE392</f>
        <v>1084.95707206734</v>
      </c>
      <c r="AA393" s="35">
        <f>AF394</f>
        <v>680.7871040881926</v>
      </c>
      <c r="AC393" s="35">
        <f>BJ393</f>
        <v>272.6889952616793</v>
      </c>
      <c r="AD393" s="35">
        <f>BA393</f>
        <v>769.6186275415437</v>
      </c>
      <c r="AE393" s="35">
        <f>BK393+273</f>
        <v>1047.9771186209723</v>
      </c>
      <c r="AF393" s="35">
        <f>BD393</f>
        <v>714.76098846188</v>
      </c>
      <c r="AH393" s="35">
        <f>Z393-AA393</f>
        <v>404.1699679791475</v>
      </c>
      <c r="AI393" s="35">
        <f>AA393+(L393+1/AN393)*AU393*E393/G393</f>
        <v>805.1072278144678</v>
      </c>
      <c r="AJ393" s="35">
        <f>Z393-273</f>
        <v>811.95707206734</v>
      </c>
      <c r="AK393" s="35">
        <f>E393*P393/(3600*K393)*(AJ393+273)/273</f>
        <v>9.0406543929724</v>
      </c>
      <c r="AL393" s="35">
        <f>1.1077-0.002944*AJ393^0.7+0.67936*N393+0.0050854*AJ393^0.7*N393+0.0000089737*AJ393^1.4-2.4659*N393^2-0.000046377*AJ393^1.4*N393^2+23.168*AJ393^-0.1*N393^4</f>
        <v>1.026653590164239</v>
      </c>
      <c r="AM393" s="35">
        <f>H393*AL393*AK393^I393</f>
        <v>56.88666968592179</v>
      </c>
      <c r="AN393" s="35">
        <f>Q393*F393^0.8</f>
        <v>1644.8109131775936</v>
      </c>
      <c r="AO393" s="35">
        <f>((0.78+1.6*N393)/(M393*O393*J393)^0.5-0.1)*(1-0.37*Z393/1000)</f>
        <v>2.267863855892748</v>
      </c>
      <c r="AP393" s="35">
        <f>AO393*O393</f>
        <v>0.5541138199035375</v>
      </c>
      <c r="AQ393" s="35">
        <f>1-EXP(-AP393*M393*J393)</f>
        <v>0.15362119520966155</v>
      </c>
      <c r="AR393" s="35">
        <f>0.000000049*(0.82+1)/2*AQ393*Z393^3*(1-(AI393/Z393)^3.6)/(1-AI393/Z393)</f>
        <v>22.328887183292743</v>
      </c>
      <c r="AS393" s="35">
        <f>AM393+AR393</f>
        <v>79.21555686921454</v>
      </c>
      <c r="AT393" s="35">
        <f>1/(1/AS393+L393+1/AN393)</f>
        <v>54.8493530162488</v>
      </c>
      <c r="AU393" s="35">
        <f>AT393*G393*AH393/E393</f>
        <v>221.68461252254235</v>
      </c>
      <c r="AW393" s="35">
        <f t="shared" si="27"/>
        <v>100</v>
      </c>
      <c r="AX393" s="35">
        <f t="shared" si="27"/>
        <v>0.994</v>
      </c>
      <c r="AY393" s="35">
        <f>Y393</f>
        <v>746.5621445391039</v>
      </c>
      <c r="AZ393" s="35">
        <f>AU393*AX393</f>
        <v>220.3545048474071</v>
      </c>
      <c r="BA393" s="35">
        <f>AY393+AZ393*E393/F393</f>
        <v>769.6186275415437</v>
      </c>
      <c r="BB393" s="35">
        <f>193.897+1.6984*AW393-0.0066353*AW393^2+0.0000121825*AW393^3</f>
        <v>309.56649999999996</v>
      </c>
      <c r="BC393" s="35">
        <f>3074.3-3.1077*AW393-2.3864*10^7*BA393^-1.3+22437.3*AW393*BA393^-1.3+0.0041697*AW393^2+4.8476*10^10*BA393^-2.6-177649*AW393^2*BA393^-2.6</f>
        <v>441.76098846187995</v>
      </c>
      <c r="BD393" s="35">
        <f>BC393+273</f>
        <v>714.76098846188</v>
      </c>
      <c r="BF393" s="35">
        <f t="shared" si="28"/>
        <v>1.3130758017492712</v>
      </c>
      <c r="BG393" s="35">
        <f t="shared" si="28"/>
        <v>0.02</v>
      </c>
      <c r="BH393" s="35">
        <f>P393</f>
        <v>15.559873469387755</v>
      </c>
      <c r="BI393" s="35">
        <f>X393</f>
        <v>286.9361941838737</v>
      </c>
      <c r="BJ393" s="35">
        <f>BI393-AU393/BH393</f>
        <v>272.6889952616793</v>
      </c>
      <c r="BK393" s="35">
        <f>-17.5+3.51*BJ393+38.864*BF393^-0.5-0.30038*BJ393*BF393^-0.5+0.0044766*BJ393^2-23.072/BF393-0.000058066*BJ393^2/BF393-0.010324*BJ393^1.9+IF(BJ393&lt;200,1.6-1.87*BJ393^0.3+0.2012*BF393-21.75*BG393+0.302*BJ393^0.6,-0.19-0.0006295*BJ393+0.7193*BF393^-0.4+41.38*BG393-0.4254*BJ393*BF393^-0.4*BG393)</f>
        <v>774.9771186209722</v>
      </c>
    </row>
    <row r="394" spans="4:63" ht="15.75">
      <c r="D394" s="4">
        <v>3</v>
      </c>
      <c r="E394" s="35">
        <f t="shared" si="29"/>
        <v>16000</v>
      </c>
      <c r="F394" s="35">
        <f t="shared" si="29"/>
        <v>152914.56538212864</v>
      </c>
      <c r="G394" s="35">
        <f t="shared" si="29"/>
        <v>160</v>
      </c>
      <c r="H394" s="35">
        <f t="shared" si="29"/>
        <v>13.54</v>
      </c>
      <c r="I394" s="35">
        <f t="shared" si="29"/>
        <v>0.64</v>
      </c>
      <c r="J394" s="35">
        <f t="shared" si="29"/>
        <v>0.301</v>
      </c>
      <c r="K394" s="35">
        <f t="shared" si="29"/>
        <v>30.4</v>
      </c>
      <c r="L394" s="35">
        <f t="shared" si="29"/>
        <v>0.005</v>
      </c>
      <c r="M394" s="35">
        <f t="shared" si="29"/>
        <v>1</v>
      </c>
      <c r="N394" s="35">
        <f t="shared" si="29"/>
        <v>0.17163310965489723</v>
      </c>
      <c r="O394" s="35">
        <f t="shared" si="29"/>
        <v>0.24433292962615244</v>
      </c>
      <c r="P394" s="35">
        <f t="shared" si="29"/>
        <v>15.559873469387755</v>
      </c>
      <c r="Q394" s="35">
        <f t="shared" si="29"/>
        <v>0.1171</v>
      </c>
      <c r="S394" s="35">
        <f t="shared" si="30"/>
        <v>100</v>
      </c>
      <c r="T394" s="35">
        <f t="shared" si="30"/>
        <v>0.994</v>
      </c>
      <c r="U394" s="35">
        <f t="shared" si="30"/>
        <v>1.3130758017492712</v>
      </c>
      <c r="V394" s="35">
        <f t="shared" si="30"/>
        <v>0.02</v>
      </c>
      <c r="X394" s="35">
        <f>AC393</f>
        <v>272.6889952616793</v>
      </c>
      <c r="Y394" s="35">
        <f>AD395</f>
        <v>724.5458213173297</v>
      </c>
      <c r="Z394" s="35">
        <f>AE393</f>
        <v>1047.9771186209723</v>
      </c>
      <c r="AA394" s="35">
        <f>AF395</f>
        <v>650.9407575980877</v>
      </c>
      <c r="AC394" s="35">
        <f>BJ394</f>
        <v>259.08453804924346</v>
      </c>
      <c r="AD394" s="35">
        <f>BA394</f>
        <v>746.5621445391039</v>
      </c>
      <c r="AE394" s="35">
        <f>BK394+273</f>
        <v>1012.4361400199234</v>
      </c>
      <c r="AF394" s="35">
        <f>BD394</f>
        <v>680.7871040881926</v>
      </c>
      <c r="AH394" s="35">
        <f>Z394-AA394</f>
        <v>397.03636102288465</v>
      </c>
      <c r="AI394" s="35">
        <f>AA394+(L394+1/AN394)*AU394*E394/G394</f>
        <v>769.652359304168</v>
      </c>
      <c r="AJ394" s="35">
        <f>Z394-273</f>
        <v>774.9771186209723</v>
      </c>
      <c r="AK394" s="35">
        <f>E394*P394/(3600*K394)*(AJ394+273)/273</f>
        <v>8.732510423792327</v>
      </c>
      <c r="AL394" s="35">
        <f>1.1077-0.002944*AJ394^0.7+0.67936*N394+0.0050854*AJ394^0.7*N394+0.0000089737*AJ394^1.4-2.4659*N394^2-0.000046377*AJ394^1.4*N394^2+23.168*AJ394^-0.1*N394^4</f>
        <v>1.0282462891131154</v>
      </c>
      <c r="AM394" s="35">
        <f>H394*AL394*AK394^I394</f>
        <v>55.72432895691811</v>
      </c>
      <c r="AN394" s="35">
        <f>Q394*F394^0.8</f>
        <v>1644.8109131775936</v>
      </c>
      <c r="AO394" s="35">
        <f>((0.78+1.6*N394)/(M394*O394*J394)^0.5-0.1)*(1-0.37*Z394/1000)</f>
        <v>2.3197048241052083</v>
      </c>
      <c r="AP394" s="35">
        <f>AO394*O394</f>
        <v>0.5667802755415442</v>
      </c>
      <c r="AQ394" s="35">
        <f>1-EXP(-AP394*M394*J394)</f>
        <v>0.15684195805770695</v>
      </c>
      <c r="AR394" s="35">
        <f>0.000000049*(0.82+1)/2*AQ394*Z394^3*(1-(AI394/Z394)^3.6)/(1-AI394/Z394)</f>
        <v>20.33201377191949</v>
      </c>
      <c r="AS394" s="35">
        <f>AM394+AR394</f>
        <v>76.05634272883759</v>
      </c>
      <c r="AT394" s="35">
        <f>1/(1/AS394+L394+1/AN394)</f>
        <v>53.315931140372264</v>
      </c>
      <c r="AU394" s="35">
        <f>AT394*G394*AH394/E394</f>
        <v>211.683632845201</v>
      </c>
      <c r="AW394" s="35">
        <f t="shared" si="27"/>
        <v>100</v>
      </c>
      <c r="AX394" s="35">
        <f t="shared" si="27"/>
        <v>0.994</v>
      </c>
      <c r="AY394" s="35">
        <f>Y394</f>
        <v>724.5458213173297</v>
      </c>
      <c r="AZ394" s="35">
        <f>AU394*AX394</f>
        <v>210.41353104812978</v>
      </c>
      <c r="BA394" s="35">
        <f>AY394+AZ394*E394/F394</f>
        <v>746.5621445391039</v>
      </c>
      <c r="BB394" s="35">
        <f>193.897+1.6984*AW394-0.0066353*AW394^2+0.0000121825*AW394^3</f>
        <v>309.56649999999996</v>
      </c>
      <c r="BC394" s="35">
        <f>3074.3-3.1077*AW394-2.3864*10^7*BA394^-1.3+22437.3*AW394*BA394^-1.3+0.0041697*AW394^2+4.8476*10^10*BA394^-2.6-177649*AW394^2*BA394^-2.6</f>
        <v>407.7871040881925</v>
      </c>
      <c r="BD394" s="35">
        <f>BC394+273</f>
        <v>680.7871040881926</v>
      </c>
      <c r="BF394" s="35">
        <f t="shared" si="28"/>
        <v>1.3130758017492712</v>
      </c>
      <c r="BG394" s="35">
        <f t="shared" si="28"/>
        <v>0.02</v>
      </c>
      <c r="BH394" s="35">
        <f>P394</f>
        <v>15.559873469387755</v>
      </c>
      <c r="BI394" s="35">
        <f>X394</f>
        <v>272.6889952616793</v>
      </c>
      <c r="BJ394" s="35">
        <f>BI394-AU394/BH394</f>
        <v>259.08453804924346</v>
      </c>
      <c r="BK394" s="35">
        <f>-17.5+3.51*BJ394+38.864*BF394^-0.5-0.30038*BJ394*BF394^-0.5+0.0044766*BJ394^2-23.072/BF394-0.000058066*BJ394^2/BF394-0.010324*BJ394^1.9+IF(BJ394&lt;200,1.6-1.87*BJ394^0.3+0.2012*BF394-21.75*BG394+0.302*BJ394^0.6,-0.19-0.0006295*BJ394+0.7193*BF394^-0.4+41.38*BG394-0.4254*BJ394*BF394^-0.4*BG394)</f>
        <v>739.4361400199234</v>
      </c>
    </row>
    <row r="395" spans="4:63" ht="15.75">
      <c r="D395" s="4">
        <v>4</v>
      </c>
      <c r="E395" s="35">
        <f t="shared" si="29"/>
        <v>16000</v>
      </c>
      <c r="F395" s="35">
        <f t="shared" si="29"/>
        <v>152914.56538212864</v>
      </c>
      <c r="G395" s="35">
        <f t="shared" si="29"/>
        <v>160</v>
      </c>
      <c r="H395" s="35">
        <f t="shared" si="29"/>
        <v>13.54</v>
      </c>
      <c r="I395" s="35">
        <f t="shared" si="29"/>
        <v>0.64</v>
      </c>
      <c r="J395" s="35">
        <f t="shared" si="29"/>
        <v>0.301</v>
      </c>
      <c r="K395" s="35">
        <f t="shared" si="29"/>
        <v>30.4</v>
      </c>
      <c r="L395" s="35">
        <f t="shared" si="29"/>
        <v>0.005</v>
      </c>
      <c r="M395" s="35">
        <f t="shared" si="29"/>
        <v>1</v>
      </c>
      <c r="N395" s="35">
        <f t="shared" si="29"/>
        <v>0.17163310965489723</v>
      </c>
      <c r="O395" s="35">
        <f t="shared" si="29"/>
        <v>0.24433292962615244</v>
      </c>
      <c r="P395" s="35">
        <f t="shared" si="29"/>
        <v>15.559873469387755</v>
      </c>
      <c r="Q395" s="35">
        <f t="shared" si="29"/>
        <v>0.1171</v>
      </c>
      <c r="S395" s="35">
        <f t="shared" si="30"/>
        <v>100</v>
      </c>
      <c r="T395" s="35">
        <f t="shared" si="30"/>
        <v>0.994</v>
      </c>
      <c r="U395" s="35">
        <f t="shared" si="30"/>
        <v>1.3130758017492712</v>
      </c>
      <c r="V395" s="35">
        <f t="shared" si="30"/>
        <v>0.02</v>
      </c>
      <c r="X395" s="35">
        <f>AC394</f>
        <v>259.08453804924346</v>
      </c>
      <c r="Y395" s="35">
        <f>AD396</f>
        <v>703.682936237428</v>
      </c>
      <c r="Z395" s="35">
        <f>AE394</f>
        <v>1012.4361400199234</v>
      </c>
      <c r="AA395" s="35">
        <f>AF396</f>
        <v>625.758297585338</v>
      </c>
      <c r="AC395" s="35">
        <f>BJ395</f>
        <v>246.19282018434677</v>
      </c>
      <c r="AD395" s="35">
        <f>BA395</f>
        <v>724.5458213173297</v>
      </c>
      <c r="AE395" s="35">
        <f>BK395+273</f>
        <v>978.5416197601021</v>
      </c>
      <c r="AF395" s="35">
        <f>BD395</f>
        <v>650.9407575980877</v>
      </c>
      <c r="AH395" s="35">
        <f>Z395-AA395</f>
        <v>386.6778424345854</v>
      </c>
      <c r="AI395" s="35">
        <f>AA395+(L395+1/AN395)*AU395*E395/G395</f>
        <v>738.2505824731063</v>
      </c>
      <c r="AJ395" s="35">
        <f>Z395-273</f>
        <v>739.4361400199234</v>
      </c>
      <c r="AK395" s="35">
        <f>E395*P395/(3600*K395)*(AJ395+273)/273</f>
        <v>8.436357043541198</v>
      </c>
      <c r="AL395" s="35">
        <f>1.1077-0.002944*AJ395^0.7+0.67936*N395+0.0050854*AJ395^0.7*N395+0.0000089737*AJ395^1.4-2.4659*N395^2-0.000046377*AJ395^1.4*N395^2+23.168*AJ395^-0.1*N395^4</f>
        <v>1.0299790958929609</v>
      </c>
      <c r="AM395" s="35">
        <f>H395*AL395*AK395^I395</f>
        <v>54.599195543175604</v>
      </c>
      <c r="AN395" s="35">
        <f>Q395*F395^0.8</f>
        <v>1644.8109131775936</v>
      </c>
      <c r="AO395" s="35">
        <f>((0.78+1.6*N395)/(M395*O395*J395)^0.5-0.1)*(1-0.37*Z395/1000)</f>
        <v>2.3695285412867033</v>
      </c>
      <c r="AP395" s="35">
        <f>AO395*O395</f>
        <v>0.5789538503253637</v>
      </c>
      <c r="AQ395" s="35">
        <f>1-EXP(-AP395*M395*J395)</f>
        <v>0.1599258430414785</v>
      </c>
      <c r="AR395" s="35">
        <f>0.000000049*(0.82+1)/2*AQ395*Z395^3*(1-(AI395/Z395)^3.6)/(1-AI395/Z395)</f>
        <v>18.560565523593237</v>
      </c>
      <c r="AS395" s="35">
        <f>AM395+AR395</f>
        <v>73.15976106676884</v>
      </c>
      <c r="AT395" s="35">
        <f>1/(1/AS395+L395+1/AN395)</f>
        <v>51.87612962715179</v>
      </c>
      <c r="AU395" s="35">
        <f>AT395*G395*AH395/E395</f>
        <v>200.5934987808393</v>
      </c>
      <c r="AW395" s="35">
        <f t="shared" si="27"/>
        <v>100</v>
      </c>
      <c r="AX395" s="35">
        <f t="shared" si="27"/>
        <v>0.994</v>
      </c>
      <c r="AY395" s="35">
        <f>Y395</f>
        <v>703.682936237428</v>
      </c>
      <c r="AZ395" s="35">
        <f>AU395*AX395</f>
        <v>199.38993778815427</v>
      </c>
      <c r="BA395" s="35">
        <f>AY395+AZ395*E395/F395</f>
        <v>724.5458213173297</v>
      </c>
      <c r="BB395" s="35">
        <f>193.897+1.6984*AW395-0.0066353*AW395^2+0.0000121825*AW395^3</f>
        <v>309.56649999999996</v>
      </c>
      <c r="BC395" s="35">
        <f>3074.3-3.1077*AW395-2.3864*10^7*BA395^-1.3+22437.3*AW395*BA395^-1.3+0.0041697*AW395^2+4.8476*10^10*BA395^-2.6-177649*AW395^2*BA395^-2.6</f>
        <v>377.94075759808766</v>
      </c>
      <c r="BD395" s="35">
        <f>BC395+273</f>
        <v>650.9407575980877</v>
      </c>
      <c r="BF395" s="35">
        <f t="shared" si="28"/>
        <v>1.3130758017492712</v>
      </c>
      <c r="BG395" s="35">
        <f t="shared" si="28"/>
        <v>0.02</v>
      </c>
      <c r="BH395" s="35">
        <f>P395</f>
        <v>15.559873469387755</v>
      </c>
      <c r="BI395" s="35">
        <f>X395</f>
        <v>259.08453804924346</v>
      </c>
      <c r="BJ395" s="35">
        <f>BI395-AU395/BH395</f>
        <v>246.1928201843467</v>
      </c>
      <c r="BK395" s="35">
        <f>-17.5+3.51*BJ395+38.864*BF395^-0.5-0.30038*BJ395*BF395^-0.5+0.0044766*BJ395^2-23.072/BF395-0.000058066*BJ395^2/BF395-0.010324*BJ395^1.9+IF(BJ395&lt;200,1.6-1.87*BJ395^0.3+0.2012*BF395-21.75*BG395+0.302*BJ395^0.6,-0.19-0.0006295*BJ395+0.7193*BF395^-0.4+41.38*BG395-0.4254*BJ395*BF395^-0.4*BG395)</f>
        <v>705.541619760102</v>
      </c>
    </row>
    <row r="396" spans="4:63" ht="15.75">
      <c r="D396" s="4">
        <v>5</v>
      </c>
      <c r="E396" s="35">
        <f t="shared" si="29"/>
        <v>16000</v>
      </c>
      <c r="F396" s="35">
        <f t="shared" si="29"/>
        <v>152914.56538212864</v>
      </c>
      <c r="G396" s="35">
        <f t="shared" si="29"/>
        <v>160</v>
      </c>
      <c r="H396" s="35">
        <f t="shared" si="29"/>
        <v>13.54</v>
      </c>
      <c r="I396" s="35">
        <f t="shared" si="29"/>
        <v>0.64</v>
      </c>
      <c r="J396" s="35">
        <f t="shared" si="29"/>
        <v>0.301</v>
      </c>
      <c r="K396" s="35">
        <f t="shared" si="29"/>
        <v>30.4</v>
      </c>
      <c r="L396" s="35">
        <f t="shared" si="29"/>
        <v>0.005</v>
      </c>
      <c r="M396" s="35">
        <f t="shared" si="29"/>
        <v>1</v>
      </c>
      <c r="N396" s="35">
        <f t="shared" si="29"/>
        <v>0.17163310965489723</v>
      </c>
      <c r="O396" s="35">
        <f t="shared" si="29"/>
        <v>0.24433292962615244</v>
      </c>
      <c r="P396" s="35">
        <f t="shared" si="29"/>
        <v>15.559873469387755</v>
      </c>
      <c r="Q396" s="35">
        <f t="shared" si="29"/>
        <v>0.1171</v>
      </c>
      <c r="S396" s="35">
        <f t="shared" si="30"/>
        <v>100</v>
      </c>
      <c r="T396" s="35">
        <f t="shared" si="30"/>
        <v>0.994</v>
      </c>
      <c r="U396" s="35">
        <f t="shared" si="30"/>
        <v>1.3130758017492712</v>
      </c>
      <c r="V396" s="35">
        <f t="shared" si="30"/>
        <v>0.02</v>
      </c>
      <c r="X396" s="35">
        <f>AC395</f>
        <v>246.19282018434677</v>
      </c>
      <c r="Y396" s="35">
        <f>Y389</f>
        <v>684.0812730222092</v>
      </c>
      <c r="Z396" s="35">
        <f>AE395</f>
        <v>978.5416197601021</v>
      </c>
      <c r="AA396" s="35">
        <f>AA389</f>
        <v>605.6377171438701</v>
      </c>
      <c r="AC396" s="35">
        <f>BJ396</f>
        <v>234.08044402517572</v>
      </c>
      <c r="AD396" s="35">
        <f>BA396</f>
        <v>703.682936237428</v>
      </c>
      <c r="AE396" s="35">
        <f>BK396+273</f>
        <v>946.4971918970593</v>
      </c>
      <c r="AF396" s="35">
        <f>BD396</f>
        <v>625.758297585338</v>
      </c>
      <c r="AH396" s="35">
        <f>Z396-AA396</f>
        <v>372.903902616232</v>
      </c>
      <c r="AI396" s="35">
        <f>AA396+(L396+1/AN396)*AU396*E396/G396</f>
        <v>711.3295174023448</v>
      </c>
      <c r="AJ396" s="35">
        <f>Z396-273</f>
        <v>705.5416197601021</v>
      </c>
      <c r="AK396" s="35">
        <f>E396*P396/(3600*K396)*(AJ396+273)/273</f>
        <v>8.153923156179408</v>
      </c>
      <c r="AL396" s="35">
        <f>1.1077-0.002944*AJ396^0.7+0.67936*N396+0.0050854*AJ396^0.7*N396+0.0000089737*AJ396^1.4-2.4659*N396^2-0.000046377*AJ396^1.4*N396^2+23.168*AJ396^-0.1*N396^4</f>
        <v>1.0318246509775444</v>
      </c>
      <c r="AM396" s="35">
        <f>H396*AL396*AK396^I396</f>
        <v>53.517916390710994</v>
      </c>
      <c r="AN396" s="35">
        <f>Q396*F396^0.8</f>
        <v>1644.8109131775936</v>
      </c>
      <c r="AO396" s="35">
        <f>((0.78+1.6*N396)/(M396*O396*J396)^0.5-0.1)*(1-0.37*Z396/1000)</f>
        <v>2.4170441432172023</v>
      </c>
      <c r="AP396" s="35">
        <f>AO396*O396</f>
        <v>0.5905634765479926</v>
      </c>
      <c r="AQ396" s="35">
        <f>1-EXP(-AP396*M396*J396)</f>
        <v>0.16285635675832877</v>
      </c>
      <c r="AR396" s="35">
        <f>0.000000049*(0.82+1)/2*AQ396*Z396^3*(1-(AI396/Z396)^3.6)/(1-AI396/Z396)</f>
        <v>17.012961061089598</v>
      </c>
      <c r="AS396" s="35">
        <f>AM396+AR396</f>
        <v>70.53087745180059</v>
      </c>
      <c r="AT396" s="35">
        <f>1/(1/AS396+L396+1/AN396)</f>
        <v>50.54037759542772</v>
      </c>
      <c r="AU396" s="35">
        <f>AT396*G396*AH396/E396</f>
        <v>188.4670404503297</v>
      </c>
      <c r="AW396" s="35">
        <f t="shared" si="27"/>
        <v>100</v>
      </c>
      <c r="AX396" s="35">
        <f t="shared" si="27"/>
        <v>0.994</v>
      </c>
      <c r="AY396" s="35">
        <f>Y396</f>
        <v>684.0812730222092</v>
      </c>
      <c r="AZ396" s="35">
        <f>AU396*AX396</f>
        <v>187.33623820762773</v>
      </c>
      <c r="BA396" s="35">
        <f>AY396+AZ396*E396/F396</f>
        <v>703.682936237428</v>
      </c>
      <c r="BB396" s="35">
        <f>193.897+1.6984*AW396-0.0066353*AW396^2+0.0000121825*AW396^3</f>
        <v>309.56649999999996</v>
      </c>
      <c r="BC396" s="35">
        <f>3074.3-3.1077*AW396-2.3864*10^7*BA396^-1.3+22437.3*AW396*BA396^-1.3+0.0041697*AW396^2+4.8476*10^10*BA396^-2.6-177649*AW396^2*BA396^-2.6</f>
        <v>352.758297585338</v>
      </c>
      <c r="BD396" s="35">
        <f>BC396+273</f>
        <v>625.758297585338</v>
      </c>
      <c r="BF396" s="35">
        <f t="shared" si="28"/>
        <v>1.3130758017492712</v>
      </c>
      <c r="BG396" s="35">
        <f t="shared" si="28"/>
        <v>0.02</v>
      </c>
      <c r="BH396" s="35">
        <f>P396</f>
        <v>15.559873469387755</v>
      </c>
      <c r="BI396" s="35">
        <f>X396</f>
        <v>246.19282018434677</v>
      </c>
      <c r="BJ396" s="35">
        <f>BI396-AU396/BH396</f>
        <v>234.08044402517578</v>
      </c>
      <c r="BK396" s="35">
        <f>-17.5+3.51*BJ396+38.864*BF396^-0.5-0.30038*BJ396*BF396^-0.5+0.0044766*BJ396^2-23.072/BF396-0.000058066*BJ396^2/BF396-0.010324*BJ396^1.9+IF(BJ396&lt;200,1.6-1.87*BJ396^0.3+0.2012*BF396-21.75*BG396+0.302*BJ396^0.6,-0.19-0.0006295*BJ396+0.7193*BF396^-0.4+41.38*BG396-0.4254*BJ396*BF396^-0.4*BG396)</f>
        <v>673.4971918970597</v>
      </c>
    </row>
    <row r="397" ht="15">
      <c r="F397" s="1" t="s">
        <v>1082</v>
      </c>
    </row>
    <row r="398" spans="5:10" ht="15">
      <c r="E398" s="24" t="s">
        <v>1083</v>
      </c>
      <c r="F398" s="24"/>
      <c r="G398" s="24"/>
      <c r="H398" s="24"/>
      <c r="I398" s="24"/>
      <c r="J398" s="24"/>
    </row>
    <row r="401" spans="5:9" ht="15">
      <c r="E401" s="24" t="s">
        <v>1084</v>
      </c>
      <c r="F401" s="24"/>
      <c r="G401" s="24"/>
      <c r="H401" s="24"/>
      <c r="I401" s="24"/>
    </row>
    <row r="402" spans="5:6" ht="15">
      <c r="E402" s="2" t="s">
        <v>1085</v>
      </c>
      <c r="F402" s="1" t="s">
        <v>1086</v>
      </c>
    </row>
    <row r="403" ht="15">
      <c r="E403" s="1" t="s">
        <v>1087</v>
      </c>
    </row>
    <row r="404" spans="5:10" ht="15.75">
      <c r="E404" s="18"/>
      <c r="F404" s="18"/>
      <c r="G404" s="7" t="s">
        <v>1014</v>
      </c>
      <c r="H404" s="24" t="s">
        <v>109</v>
      </c>
      <c r="I404" s="7" t="s">
        <v>852</v>
      </c>
      <c r="J404" s="7" t="s">
        <v>1088</v>
      </c>
    </row>
    <row r="405" spans="7:10" ht="15">
      <c r="G405" s="4">
        <v>172112.42951668185</v>
      </c>
      <c r="H405" s="24">
        <v>100</v>
      </c>
      <c r="I405" s="4">
        <v>260</v>
      </c>
      <c r="J405" s="4">
        <v>246</v>
      </c>
    </row>
    <row r="407" ht="15">
      <c r="D407" s="1" t="s">
        <v>941</v>
      </c>
    </row>
    <row r="408" spans="4:12" ht="15.75">
      <c r="D408" s="7" t="s">
        <v>1066</v>
      </c>
      <c r="E408" s="7" t="s">
        <v>1067</v>
      </c>
      <c r="F408" s="7" t="s">
        <v>1010</v>
      </c>
      <c r="G408" s="7" t="s">
        <v>1068</v>
      </c>
      <c r="H408" s="7" t="s">
        <v>1069</v>
      </c>
      <c r="I408" s="7" t="s">
        <v>1070</v>
      </c>
      <c r="J408" s="7" t="s">
        <v>1071</v>
      </c>
      <c r="K408" s="7" t="s">
        <v>1036</v>
      </c>
      <c r="L408" s="1" t="s">
        <v>695</v>
      </c>
    </row>
    <row r="409" spans="4:12" ht="15">
      <c r="D409" s="4">
        <v>0.03</v>
      </c>
      <c r="E409" s="4">
        <v>15.559873469387755</v>
      </c>
      <c r="F409" s="4">
        <v>274.2393043132837</v>
      </c>
      <c r="G409" s="4">
        <v>0.07269981997125521</v>
      </c>
      <c r="H409" s="4">
        <v>0.7120340712072314</v>
      </c>
      <c r="I409" s="4">
        <v>0.17163310965489723</v>
      </c>
      <c r="J409" s="4">
        <v>0.04500505271408481</v>
      </c>
      <c r="K409" s="4">
        <v>10</v>
      </c>
      <c r="L409" s="4">
        <v>0.02</v>
      </c>
    </row>
    <row r="410" spans="4:12" ht="15.75">
      <c r="D410" s="7" t="s">
        <v>1072</v>
      </c>
      <c r="E410" s="7" t="s">
        <v>699</v>
      </c>
      <c r="F410" s="7" t="s">
        <v>1011</v>
      </c>
      <c r="G410" s="7" t="s">
        <v>645</v>
      </c>
      <c r="H410" s="7" t="s">
        <v>644</v>
      </c>
      <c r="I410" s="7" t="s">
        <v>102</v>
      </c>
      <c r="J410" s="7" t="s">
        <v>646</v>
      </c>
      <c r="K410" s="3" t="s">
        <v>706</v>
      </c>
      <c r="L410" s="7" t="s">
        <v>1012</v>
      </c>
    </row>
    <row r="411" spans="4:12" ht="15.75">
      <c r="D411" s="35">
        <f>D409*9.51/(1-L409)</f>
        <v>0.29112244897959183</v>
      </c>
      <c r="E411" s="35">
        <f>E409+D411</f>
        <v>15.850995918367346</v>
      </c>
      <c r="F411" s="35">
        <f>(F409*E409+K409*D411)/E411</f>
        <v>269.38623427374074</v>
      </c>
      <c r="G411" s="35">
        <f>G409*E409/E411</f>
        <v>0.07136460105255732</v>
      </c>
      <c r="H411" s="35">
        <f>(H409*E409+0.79*D411)/E411</f>
        <v>0.7134660084964726</v>
      </c>
      <c r="I411" s="35">
        <f>(I409*E409+L409*D411)/E411</f>
        <v>0.16884818671021506</v>
      </c>
      <c r="J411" s="35">
        <f>(J409*E409+0.21*D411)/E411</f>
        <v>0.04803538174643761</v>
      </c>
      <c r="K411" s="35">
        <f>1+J411*1.01/(G411*0.21*9.51)</f>
        <v>1.340408163265306</v>
      </c>
      <c r="L411" s="35">
        <f>-17.5+3.51*F411+38.864*K411^-0.5-0.30038*F411*K411^-0.5+0.0044766*F411^2-23.072/K411-0.000058066*F411^2/K411-0.010324*F411^1.9+IF(F411&lt;200,1.6-1.87*F411^0.3+0.2012*K411-21.75*L409+0.302*F411^0.6,-0.19-0.0006295*F411+0.7193*K411^-0.4+41.38*L409-0.4254*F411*K411^-0.4*L409)</f>
        <v>767.1811822237665</v>
      </c>
    </row>
    <row r="412" spans="7:10" ht="15">
      <c r="G412" s="24" t="s">
        <v>835</v>
      </c>
      <c r="H412" s="24">
        <v>16000</v>
      </c>
      <c r="I412" s="24" t="s">
        <v>1048</v>
      </c>
      <c r="J412" s="24">
        <v>1</v>
      </c>
    </row>
    <row r="414" ht="15">
      <c r="G414" s="1" t="s">
        <v>1056</v>
      </c>
    </row>
    <row r="415" spans="5:27" ht="15.75">
      <c r="E415" s="1" t="s">
        <v>1042</v>
      </c>
      <c r="F415" s="1" t="s">
        <v>1043</v>
      </c>
      <c r="R415" s="1" t="s">
        <v>1044</v>
      </c>
      <c r="S415" s="12" t="s">
        <v>1045</v>
      </c>
      <c r="T415" s="13"/>
      <c r="U415" s="13"/>
      <c r="V415" s="13"/>
      <c r="W415" s="1" t="s">
        <v>1046</v>
      </c>
      <c r="X415" s="12" t="s">
        <v>1047</v>
      </c>
      <c r="Y415" s="13"/>
      <c r="Z415" s="13"/>
      <c r="AA415" s="13"/>
    </row>
    <row r="416" spans="5:27" ht="15">
      <c r="E416" s="24" t="s">
        <v>835</v>
      </c>
      <c r="F416" s="24" t="s">
        <v>1014</v>
      </c>
      <c r="G416" s="24" t="s">
        <v>997</v>
      </c>
      <c r="H416" s="24" t="s">
        <v>989</v>
      </c>
      <c r="I416" s="24" t="s">
        <v>990</v>
      </c>
      <c r="J416" s="24" t="s">
        <v>815</v>
      </c>
      <c r="K416" s="24" t="s">
        <v>988</v>
      </c>
      <c r="L416" s="24" t="s">
        <v>995</v>
      </c>
      <c r="M416" s="24" t="s">
        <v>1048</v>
      </c>
      <c r="N416" s="24" t="s">
        <v>102</v>
      </c>
      <c r="O416" s="24" t="s">
        <v>647</v>
      </c>
      <c r="P416" s="24" t="s">
        <v>699</v>
      </c>
      <c r="Q416" s="24" t="s">
        <v>994</v>
      </c>
      <c r="S416" s="24" t="s">
        <v>109</v>
      </c>
      <c r="T416" s="24" t="s">
        <v>840</v>
      </c>
      <c r="U416" s="24" t="s">
        <v>706</v>
      </c>
      <c r="V416" s="24" t="s">
        <v>695</v>
      </c>
      <c r="X416" s="24" t="s">
        <v>1011</v>
      </c>
      <c r="Y416" s="24" t="s">
        <v>852</v>
      </c>
      <c r="Z416" s="24" t="s">
        <v>992</v>
      </c>
      <c r="AA416" s="24" t="s">
        <v>996</v>
      </c>
    </row>
    <row r="417" spans="5:27" ht="15.75">
      <c r="E417" s="35">
        <f>H412</f>
        <v>16000</v>
      </c>
      <c r="F417" s="35">
        <f>G405</f>
        <v>172112.42951668185</v>
      </c>
      <c r="G417" s="35">
        <f>952/5</f>
        <v>190.4</v>
      </c>
      <c r="H417" s="4">
        <v>19.664</v>
      </c>
      <c r="I417" s="4">
        <v>0.6</v>
      </c>
      <c r="J417" s="4">
        <v>0.236</v>
      </c>
      <c r="K417" s="4">
        <v>19.8</v>
      </c>
      <c r="L417" s="4">
        <v>0.005</v>
      </c>
      <c r="M417" s="35">
        <f>J412</f>
        <v>1</v>
      </c>
      <c r="N417" s="35">
        <f>I411</f>
        <v>0.16884818671021506</v>
      </c>
      <c r="O417" s="35">
        <f>N417+G411</f>
        <v>0.24021278776277238</v>
      </c>
      <c r="P417" s="35">
        <f>E411</f>
        <v>15.850995918367346</v>
      </c>
      <c r="Q417" s="4">
        <v>100000</v>
      </c>
      <c r="S417" s="4">
        <v>100</v>
      </c>
      <c r="T417" s="4">
        <v>0.994</v>
      </c>
      <c r="U417" s="35">
        <f>K411</f>
        <v>1.340408163265306</v>
      </c>
      <c r="V417" s="35">
        <f>L409</f>
        <v>0.02</v>
      </c>
      <c r="X417" s="35">
        <f>F411</f>
        <v>269.38623427374074</v>
      </c>
      <c r="Y417" s="35">
        <f>I405</f>
        <v>260</v>
      </c>
      <c r="Z417" s="35">
        <f>L411+273</f>
        <v>1040.1811822237664</v>
      </c>
      <c r="AA417" s="35">
        <f>J405+273</f>
        <v>519</v>
      </c>
    </row>
    <row r="418" spans="28:58" ht="15.75">
      <c r="AB418" s="1" t="s">
        <v>1049</v>
      </c>
      <c r="AC418" s="12" t="s">
        <v>1050</v>
      </c>
      <c r="AD418" s="13"/>
      <c r="AE418" s="13"/>
      <c r="AF418" s="13"/>
      <c r="AI418" s="1" t="s">
        <v>987</v>
      </c>
      <c r="AW418" s="1" t="s">
        <v>1051</v>
      </c>
      <c r="BF418" s="1" t="s">
        <v>1009</v>
      </c>
    </row>
    <row r="419" spans="4:63" ht="15">
      <c r="D419" s="5" t="s">
        <v>1052</v>
      </c>
      <c r="E419" s="3" t="s">
        <v>835</v>
      </c>
      <c r="F419" s="3" t="s">
        <v>1014</v>
      </c>
      <c r="G419" s="3" t="s">
        <v>997</v>
      </c>
      <c r="H419" s="3" t="s">
        <v>989</v>
      </c>
      <c r="I419" s="3" t="s">
        <v>990</v>
      </c>
      <c r="J419" s="3" t="s">
        <v>815</v>
      </c>
      <c r="K419" s="3" t="s">
        <v>988</v>
      </c>
      <c r="L419" s="3" t="s">
        <v>995</v>
      </c>
      <c r="M419" s="3" t="s">
        <v>1048</v>
      </c>
      <c r="N419" s="3" t="s">
        <v>102</v>
      </c>
      <c r="O419" s="3" t="s">
        <v>647</v>
      </c>
      <c r="P419" s="3" t="s">
        <v>699</v>
      </c>
      <c r="Q419" s="3" t="s">
        <v>994</v>
      </c>
      <c r="S419" s="3" t="s">
        <v>109</v>
      </c>
      <c r="T419" s="3" t="s">
        <v>840</v>
      </c>
      <c r="U419" s="3" t="s">
        <v>706</v>
      </c>
      <c r="V419" s="1" t="s">
        <v>695</v>
      </c>
      <c r="X419" s="3" t="s">
        <v>1011</v>
      </c>
      <c r="Y419" s="3" t="s">
        <v>852</v>
      </c>
      <c r="Z419" s="3" t="s">
        <v>992</v>
      </c>
      <c r="AA419" s="3" t="s">
        <v>996</v>
      </c>
      <c r="AC419" s="24" t="s">
        <v>1011</v>
      </c>
      <c r="AD419" s="24" t="s">
        <v>852</v>
      </c>
      <c r="AE419" s="24" t="s">
        <v>992</v>
      </c>
      <c r="AF419" s="24" t="s">
        <v>996</v>
      </c>
      <c r="AH419" s="3" t="s">
        <v>1003</v>
      </c>
      <c r="AI419" s="3" t="s">
        <v>991</v>
      </c>
      <c r="AJ419" s="3" t="s">
        <v>1053</v>
      </c>
      <c r="AK419" s="3" t="s">
        <v>209</v>
      </c>
      <c r="AL419" s="3" t="s">
        <v>206</v>
      </c>
      <c r="AM419" s="3" t="s">
        <v>993</v>
      </c>
      <c r="AN419" s="3" t="s">
        <v>994</v>
      </c>
      <c r="AO419" s="3" t="s">
        <v>820</v>
      </c>
      <c r="AP419" s="3" t="s">
        <v>998</v>
      </c>
      <c r="AQ419" s="3" t="s">
        <v>999</v>
      </c>
      <c r="AR419" s="3" t="s">
        <v>1000</v>
      </c>
      <c r="AS419" s="3" t="s">
        <v>1001</v>
      </c>
      <c r="AT419" s="3" t="s">
        <v>1002</v>
      </c>
      <c r="AU419" s="3" t="s">
        <v>1004</v>
      </c>
      <c r="AW419" s="3" t="s">
        <v>109</v>
      </c>
      <c r="AX419" s="3" t="s">
        <v>840</v>
      </c>
      <c r="AY419" s="3" t="s">
        <v>1015</v>
      </c>
      <c r="AZ419" s="3" t="s">
        <v>1007</v>
      </c>
      <c r="BA419" s="3" t="s">
        <v>852</v>
      </c>
      <c r="BB419" s="3" t="s">
        <v>865</v>
      </c>
      <c r="BC419" s="3" t="s">
        <v>544</v>
      </c>
      <c r="BD419" s="3" t="s">
        <v>996</v>
      </c>
      <c r="BF419" s="3" t="s">
        <v>706</v>
      </c>
      <c r="BG419" s="1" t="s">
        <v>695</v>
      </c>
      <c r="BH419" s="3" t="s">
        <v>699</v>
      </c>
      <c r="BI419" s="3" t="s">
        <v>1010</v>
      </c>
      <c r="BJ419" s="3" t="s">
        <v>1011</v>
      </c>
      <c r="BK419" s="3" t="s">
        <v>1012</v>
      </c>
    </row>
    <row r="420" spans="4:63" ht="15.75">
      <c r="D420" s="4">
        <v>1</v>
      </c>
      <c r="E420" s="35">
        <f aca="true" t="shared" si="31" ref="E420:Q420">E417</f>
        <v>16000</v>
      </c>
      <c r="F420" s="35">
        <f t="shared" si="31"/>
        <v>172112.42951668185</v>
      </c>
      <c r="G420" s="35">
        <f t="shared" si="31"/>
        <v>190.4</v>
      </c>
      <c r="H420" s="35">
        <f t="shared" si="31"/>
        <v>19.664</v>
      </c>
      <c r="I420" s="35">
        <f t="shared" si="31"/>
        <v>0.6</v>
      </c>
      <c r="J420" s="35">
        <f t="shared" si="31"/>
        <v>0.236</v>
      </c>
      <c r="K420" s="35">
        <f t="shared" si="31"/>
        <v>19.8</v>
      </c>
      <c r="L420" s="35">
        <f t="shared" si="31"/>
        <v>0.005</v>
      </c>
      <c r="M420" s="35">
        <f t="shared" si="31"/>
        <v>1</v>
      </c>
      <c r="N420" s="35">
        <f t="shared" si="31"/>
        <v>0.16884818671021506</v>
      </c>
      <c r="O420" s="35">
        <f t="shared" si="31"/>
        <v>0.24021278776277238</v>
      </c>
      <c r="P420" s="35">
        <f t="shared" si="31"/>
        <v>15.850995918367346</v>
      </c>
      <c r="Q420" s="35">
        <f t="shared" si="31"/>
        <v>100000</v>
      </c>
      <c r="S420" s="35">
        <f>S417</f>
        <v>100</v>
      </c>
      <c r="T420" s="35">
        <f>T417</f>
        <v>0.994</v>
      </c>
      <c r="U420" s="35">
        <f>U417</f>
        <v>1.340408163265306</v>
      </c>
      <c r="V420" s="35">
        <f>V417</f>
        <v>0.02</v>
      </c>
      <c r="X420" s="35">
        <f>X417</f>
        <v>269.38623427374074</v>
      </c>
      <c r="Y420" s="35">
        <f>AD421</f>
        <v>363.21386772533435</v>
      </c>
      <c r="Z420" s="35">
        <f>Z417</f>
        <v>1040.1811822237664</v>
      </c>
      <c r="AA420" s="35">
        <f>AF421</f>
        <v>603.3237223375365</v>
      </c>
      <c r="AC420" s="35">
        <f>BJ420</f>
        <v>245.56579889367728</v>
      </c>
      <c r="AD420" s="35">
        <f>BA420</f>
        <v>398.1038204654733</v>
      </c>
      <c r="AE420" s="35">
        <f>BK420+273</f>
        <v>977.6224344874481</v>
      </c>
      <c r="AF420" s="35">
        <f>BD420</f>
        <v>625.0932494926267</v>
      </c>
      <c r="AH420" s="35">
        <f>Z420-AA420</f>
        <v>436.8574598862299</v>
      </c>
      <c r="AI420" s="35">
        <f>AA420+(L420+1/AN420)*AU420*E420/G420</f>
        <v>762.2870749556396</v>
      </c>
      <c r="AJ420" s="35">
        <f>Z420-273</f>
        <v>767.1811822237664</v>
      </c>
      <c r="AK420" s="35">
        <f>E420*P420/(3600*K420)*(AJ420+273)/273</f>
        <v>13.556737644077273</v>
      </c>
      <c r="AL420" s="35">
        <f>1.723-0.00072545*AJ420-2.1255*N420^0.1+0.00081189*AJ420*N420^0.1+0.00000015846*AJ420^2+1.5631*N420^0.2-0.00000016954*AJ420^2*N420^0.2+257255*AJ420^-0.8*N420^10</f>
        <v>1.0272293445181937</v>
      </c>
      <c r="AM420" s="35">
        <f>H420*AL420*AK420^I420</f>
        <v>96.52335250697722</v>
      </c>
      <c r="AN420" s="35">
        <f>Q420</f>
        <v>100000</v>
      </c>
      <c r="AO420" s="35">
        <f>((0.78+1.6*N420)/(M420*O420*J420)^0.5-0.1)*(1-0.37*Z420/1000)</f>
        <v>2.651607991876204</v>
      </c>
      <c r="AP420" s="35">
        <f>AO420*O420</f>
        <v>0.6369501477826297</v>
      </c>
      <c r="AQ420" s="35">
        <f>1-EXP(-AP420*M420*J420)</f>
        <v>0.13956760815939506</v>
      </c>
      <c r="AR420" s="35">
        <f>0.000000049*(0.82+1)/2*AQ420*Z420^3*(1-(AI420/Z420)^3.6)/(1-AI420/Z420)</f>
        <v>17.653995157353606</v>
      </c>
      <c r="AS420" s="35">
        <f>AM420+AR420</f>
        <v>114.17734766433082</v>
      </c>
      <c r="AT420" s="35">
        <f>1/(1/AS420+L420+1/AN420)</f>
        <v>72.63058322887504</v>
      </c>
      <c r="AU420" s="35">
        <f>AT420*G420*AH420/E420</f>
        <v>377.57762398311894</v>
      </c>
      <c r="AW420" s="35">
        <f aca="true" t="shared" si="32" ref="AW420:AX424">S420</f>
        <v>100</v>
      </c>
      <c r="AX420" s="35">
        <f t="shared" si="32"/>
        <v>0.994</v>
      </c>
      <c r="AY420" s="35">
        <f>Y420</f>
        <v>363.21386772533435</v>
      </c>
      <c r="AZ420" s="35">
        <f>AU420*AX420</f>
        <v>375.31215823922025</v>
      </c>
      <c r="BA420" s="35">
        <f>AY420+AZ420*E420/F420</f>
        <v>398.1038204654733</v>
      </c>
      <c r="BB420" s="35">
        <f>193.897+1.6984*AW420-0.0066353*AW420^2+0.0000121825*AW420^3</f>
        <v>309.56649999999996</v>
      </c>
      <c r="BC420" s="35">
        <f>7.058+0.37694*BA420^1.2-0.000087402*BA420^2.4+5.2177*10^12*BA420^-4*AW420^-2</f>
        <v>352.0932494926267</v>
      </c>
      <c r="BD420" s="35">
        <f>BC420+273</f>
        <v>625.0932494926267</v>
      </c>
      <c r="BF420" s="35">
        <f aca="true" t="shared" si="33" ref="BF420:BG424">U420</f>
        <v>1.340408163265306</v>
      </c>
      <c r="BG420" s="35">
        <f t="shared" si="33"/>
        <v>0.02</v>
      </c>
      <c r="BH420" s="35">
        <f>P420</f>
        <v>15.850995918367346</v>
      </c>
      <c r="BI420" s="35">
        <f>X420</f>
        <v>269.38623427374074</v>
      </c>
      <c r="BJ420" s="35">
        <f>BI420-AU420/BH420</f>
        <v>245.56579889367728</v>
      </c>
      <c r="BK420" s="35">
        <f>-17.5+3.51*BJ420+38.864*BF420^-0.5-0.30038*BJ420*BF420^-0.5+0.0044766*BJ420^2-23.072/BF420-0.000058066*BJ420^2/BF420-0.010324*BJ420^1.9+IF(BJ420&lt;200,1.6-1.87*BJ420^0.3+0.2012*BF420-21.75*BG420+0.302*BJ420^0.6,-0.19-0.0006295*BJ420+0.7193*BF420^-0.4+41.38*BG420-0.4254*BJ420*BF420^-0.4*BG420)</f>
        <v>704.6224344874481</v>
      </c>
    </row>
    <row r="421" spans="4:63" ht="15.75">
      <c r="D421" s="4">
        <v>2</v>
      </c>
      <c r="E421" s="35">
        <f aca="true" t="shared" si="34" ref="E421:Q424">E420</f>
        <v>16000</v>
      </c>
      <c r="F421" s="35">
        <f t="shared" si="34"/>
        <v>172112.42951668185</v>
      </c>
      <c r="G421" s="35">
        <f t="shared" si="34"/>
        <v>190.4</v>
      </c>
      <c r="H421" s="35">
        <f t="shared" si="34"/>
        <v>19.664</v>
      </c>
      <c r="I421" s="35">
        <f t="shared" si="34"/>
        <v>0.6</v>
      </c>
      <c r="J421" s="35">
        <f t="shared" si="34"/>
        <v>0.236</v>
      </c>
      <c r="K421" s="35">
        <f t="shared" si="34"/>
        <v>19.8</v>
      </c>
      <c r="L421" s="35">
        <f t="shared" si="34"/>
        <v>0.005</v>
      </c>
      <c r="M421" s="35">
        <f t="shared" si="34"/>
        <v>1</v>
      </c>
      <c r="N421" s="35">
        <f t="shared" si="34"/>
        <v>0.16884818671021506</v>
      </c>
      <c r="O421" s="35">
        <f t="shared" si="34"/>
        <v>0.24021278776277238</v>
      </c>
      <c r="P421" s="35">
        <f t="shared" si="34"/>
        <v>15.850995918367346</v>
      </c>
      <c r="Q421" s="35">
        <f t="shared" si="34"/>
        <v>100000</v>
      </c>
      <c r="S421" s="35">
        <f aca="true" t="shared" si="35" ref="S421:V424">S420</f>
        <v>100</v>
      </c>
      <c r="T421" s="35">
        <f t="shared" si="35"/>
        <v>0.994</v>
      </c>
      <c r="U421" s="35">
        <f t="shared" si="35"/>
        <v>1.340408163265306</v>
      </c>
      <c r="V421" s="35">
        <f t="shared" si="35"/>
        <v>0.02</v>
      </c>
      <c r="X421" s="35">
        <f>AC420</f>
        <v>245.56579889367728</v>
      </c>
      <c r="Y421" s="35">
        <f>AD422</f>
        <v>332.6906216223605</v>
      </c>
      <c r="Z421" s="35">
        <f>AE420</f>
        <v>977.6224344874481</v>
      </c>
      <c r="AA421" s="35">
        <f>AF422</f>
        <v>581.9866870260673</v>
      </c>
      <c r="AC421" s="35">
        <f>BJ421</f>
        <v>224.72664738203875</v>
      </c>
      <c r="AD421" s="35">
        <f>BA421</f>
        <v>363.21386772533435</v>
      </c>
      <c r="AE421" s="35">
        <f>BK421+273</f>
        <v>922.2828256390546</v>
      </c>
      <c r="AF421" s="35">
        <f>BD421</f>
        <v>603.3237223375365</v>
      </c>
      <c r="AH421" s="35">
        <f>Z421-AA421</f>
        <v>395.6357474613808</v>
      </c>
      <c r="AI421" s="35">
        <f>AA421+(L421+1/AN421)*AU421*E421/G421</f>
        <v>721.0547324732637</v>
      </c>
      <c r="AJ421" s="35">
        <f>Z421-273</f>
        <v>704.6224344874481</v>
      </c>
      <c r="AK421" s="35">
        <f>E421*P421/(3600*K421)*(AJ421+273)/273</f>
        <v>12.74140609905723</v>
      </c>
      <c r="AL421" s="35">
        <f>1.723-0.00072545*AJ421-2.1255*N421^0.1+0.00081189*AJ421*N421^0.1+0.00000015846*AJ421^2+1.5631*N421^0.2-0.00000016954*AJ421^2*N421^0.2+257255*AJ421^-0.8*N421^10</f>
        <v>1.0264471869657823</v>
      </c>
      <c r="AM421" s="35">
        <f>H421*AL421*AK421^I421</f>
        <v>92.92635215336338</v>
      </c>
      <c r="AN421" s="35">
        <f>Q421</f>
        <v>100000</v>
      </c>
      <c r="AO421" s="35">
        <f>((0.78+1.6*N421)/(M421*O421*J421)^0.5-0.1)*(1-0.37*Z421/1000)</f>
        <v>2.751384911101648</v>
      </c>
      <c r="AP421" s="35">
        <f>AO421*O421</f>
        <v>0.6609178397041546</v>
      </c>
      <c r="AQ421" s="35">
        <f>1-EXP(-AP421*M421*J421)</f>
        <v>0.14442079801108498</v>
      </c>
      <c r="AR421" s="35">
        <f>0.000000049*(0.82+1)/2*AQ421*Z421^3*(1-(AI421/Z421)^3.6)/(1-AI421/Z421)</f>
        <v>15.263777335723349</v>
      </c>
      <c r="AS421" s="35">
        <f>AM421+AR421</f>
        <v>108.19012948908673</v>
      </c>
      <c r="AT421" s="35">
        <f>1/(1/AS421+L421+1/AN421)</f>
        <v>70.1607301204287</v>
      </c>
      <c r="AU421" s="35">
        <f>AT421*G421*AH421/E421</f>
        <v>330.321305553221</v>
      </c>
      <c r="AW421" s="35">
        <f t="shared" si="32"/>
        <v>100</v>
      </c>
      <c r="AX421" s="35">
        <f t="shared" si="32"/>
        <v>0.994</v>
      </c>
      <c r="AY421" s="35">
        <f>Y421</f>
        <v>332.6906216223605</v>
      </c>
      <c r="AZ421" s="35">
        <f>AU421*AX421</f>
        <v>328.3393777199017</v>
      </c>
      <c r="BA421" s="35">
        <f>AY421+AZ421*E421/F421</f>
        <v>363.21386772533435</v>
      </c>
      <c r="BB421" s="35">
        <f>193.897+1.6984*AW421-0.0066353*AW421^2+0.0000121825*AW421^3</f>
        <v>309.56649999999996</v>
      </c>
      <c r="BC421" s="35">
        <f>7.058+0.37694*BA421^1.2-0.000087402*BA421^2.4+5.2177*10^12*BA421^-4*AW421^-2</f>
        <v>330.3237223375365</v>
      </c>
      <c r="BD421" s="35">
        <f>BC421+273</f>
        <v>603.3237223375365</v>
      </c>
      <c r="BF421" s="35">
        <f t="shared" si="33"/>
        <v>1.340408163265306</v>
      </c>
      <c r="BG421" s="35">
        <f t="shared" si="33"/>
        <v>0.02</v>
      </c>
      <c r="BH421" s="35">
        <f>P421</f>
        <v>15.850995918367346</v>
      </c>
      <c r="BI421" s="35">
        <f>X421</f>
        <v>245.56579889367728</v>
      </c>
      <c r="BJ421" s="35">
        <f>BI421-AU421/BH421</f>
        <v>224.72664738203875</v>
      </c>
      <c r="BK421" s="35">
        <f>-17.5+3.51*BJ421+38.864*BF421^-0.5-0.30038*BJ421*BF421^-0.5+0.0044766*BJ421^2-23.072/BF421-0.000058066*BJ421^2/BF421-0.010324*BJ421^1.9+IF(BJ421&lt;200,1.6-1.87*BJ421^0.3+0.2012*BF421-21.75*BG421+0.302*BJ421^0.6,-0.19-0.0006295*BJ421+0.7193*BF421^-0.4+41.38*BG421-0.4254*BJ421*BF421^-0.4*BG421)</f>
        <v>649.2828256390546</v>
      </c>
    </row>
    <row r="422" spans="4:63" ht="15.75">
      <c r="D422" s="4">
        <v>3</v>
      </c>
      <c r="E422" s="35">
        <f t="shared" si="34"/>
        <v>16000</v>
      </c>
      <c r="F422" s="35">
        <f t="shared" si="34"/>
        <v>172112.42951668185</v>
      </c>
      <c r="G422" s="35">
        <f t="shared" si="34"/>
        <v>190.4</v>
      </c>
      <c r="H422" s="35">
        <f t="shared" si="34"/>
        <v>19.664</v>
      </c>
      <c r="I422" s="35">
        <f t="shared" si="34"/>
        <v>0.6</v>
      </c>
      <c r="J422" s="35">
        <f t="shared" si="34"/>
        <v>0.236</v>
      </c>
      <c r="K422" s="35">
        <f t="shared" si="34"/>
        <v>19.8</v>
      </c>
      <c r="L422" s="35">
        <f t="shared" si="34"/>
        <v>0.005</v>
      </c>
      <c r="M422" s="35">
        <f t="shared" si="34"/>
        <v>1</v>
      </c>
      <c r="N422" s="35">
        <f t="shared" si="34"/>
        <v>0.16884818671021506</v>
      </c>
      <c r="O422" s="35">
        <f t="shared" si="34"/>
        <v>0.24021278776277238</v>
      </c>
      <c r="P422" s="35">
        <f t="shared" si="34"/>
        <v>15.850995918367346</v>
      </c>
      <c r="Q422" s="35">
        <f t="shared" si="34"/>
        <v>100000</v>
      </c>
      <c r="S422" s="35">
        <f t="shared" si="35"/>
        <v>100</v>
      </c>
      <c r="T422" s="35">
        <f t="shared" si="35"/>
        <v>0.994</v>
      </c>
      <c r="U422" s="35">
        <f t="shared" si="35"/>
        <v>1.340408163265306</v>
      </c>
      <c r="V422" s="35">
        <f t="shared" si="35"/>
        <v>0.02</v>
      </c>
      <c r="X422" s="35">
        <f>AC421</f>
        <v>224.72664738203875</v>
      </c>
      <c r="Y422" s="35">
        <f>AD423</f>
        <v>305.74255709674713</v>
      </c>
      <c r="Z422" s="35">
        <f>AE421</f>
        <v>922.2828256390546</v>
      </c>
      <c r="AA422" s="35">
        <f>AF423</f>
        <v>561.5024709044371</v>
      </c>
      <c r="AC422" s="35">
        <f>BJ422</f>
        <v>206.32838142762066</v>
      </c>
      <c r="AD422" s="35">
        <f>BA422</f>
        <v>332.69062162236054</v>
      </c>
      <c r="AE422" s="35">
        <f>BK422+273</f>
        <v>872.9187207678202</v>
      </c>
      <c r="AF422" s="35">
        <f>BD422</f>
        <v>581.9866870260673</v>
      </c>
      <c r="AH422" s="35">
        <f>Z422-AA422</f>
        <v>360.7803547346175</v>
      </c>
      <c r="AI422" s="35">
        <f>AA422+(L422+1/AN422)*AU422*E422/G422</f>
        <v>684.2815046126789</v>
      </c>
      <c r="AJ422" s="35">
        <f>Z422-273</f>
        <v>649.2828256390546</v>
      </c>
      <c r="AK422" s="35">
        <f>E422*P422/(3600*K422)*(AJ422+273)/273</f>
        <v>12.02016198187406</v>
      </c>
      <c r="AL422" s="35">
        <f>1.723-0.00072545*AJ422-2.1255*N422^0.1+0.00081189*AJ422*N422^0.1+0.00000015846*AJ422^2+1.5631*N422^0.2-0.00000016954*AJ422^2*N422^0.2+257255*AJ422^-0.8*N422^10</f>
        <v>1.0260143692498829</v>
      </c>
      <c r="AM422" s="35">
        <f>H422*AL422*AK422^I422</f>
        <v>89.6956746405562</v>
      </c>
      <c r="AN422" s="35">
        <f>Q422</f>
        <v>100000</v>
      </c>
      <c r="AO422" s="35">
        <f>((0.78+1.6*N422)/(M422*O422*J422)^0.5-0.1)*(1-0.37*Z422/1000)</f>
        <v>2.839647798097199</v>
      </c>
      <c r="AP422" s="35">
        <f>AO422*O422</f>
        <v>0.6821197138453463</v>
      </c>
      <c r="AQ422" s="35">
        <f>1-EXP(-AP422*M422*J422)</f>
        <v>0.148691117809021</v>
      </c>
      <c r="AR422" s="35">
        <f>0.000000049*(0.82+1)/2*AQ422*Z422^3*(1-(AI422/Z422)^3.6)/(1-AI422/Z422)</f>
        <v>13.273472966073122</v>
      </c>
      <c r="AS422" s="35">
        <f>AM422+AR422</f>
        <v>102.96914760662932</v>
      </c>
      <c r="AT422" s="35">
        <f>1/(1/AS422+L422+1/AN422)</f>
        <v>67.92718293479241</v>
      </c>
      <c r="AU422" s="35">
        <f>AT422*G422*AH422/E422</f>
        <v>291.63083854851817</v>
      </c>
      <c r="AW422" s="35">
        <f t="shared" si="32"/>
        <v>100</v>
      </c>
      <c r="AX422" s="35">
        <f t="shared" si="32"/>
        <v>0.994</v>
      </c>
      <c r="AY422" s="35">
        <f>Y422</f>
        <v>305.74255709674713</v>
      </c>
      <c r="AZ422" s="35">
        <f>AU422*AX422</f>
        <v>289.8810535172271</v>
      </c>
      <c r="BA422" s="35">
        <f>AY422+AZ422*E422/F422</f>
        <v>332.69062162236054</v>
      </c>
      <c r="BB422" s="35">
        <f>193.897+1.6984*AW422-0.0066353*AW422^2+0.0000121825*AW422^3</f>
        <v>309.56649999999996</v>
      </c>
      <c r="BC422" s="35">
        <f>7.058+0.37694*BA422^1.2-0.000087402*BA422^2.4+5.2177*10^12*BA422^-4*AW422^-2</f>
        <v>308.9866870260674</v>
      </c>
      <c r="BD422" s="35">
        <f>BC422+273</f>
        <v>581.9866870260673</v>
      </c>
      <c r="BF422" s="35">
        <f t="shared" si="33"/>
        <v>1.340408163265306</v>
      </c>
      <c r="BG422" s="35">
        <f t="shared" si="33"/>
        <v>0.02</v>
      </c>
      <c r="BH422" s="35">
        <f>P422</f>
        <v>15.850995918367346</v>
      </c>
      <c r="BI422" s="35">
        <f>X422</f>
        <v>224.72664738203875</v>
      </c>
      <c r="BJ422" s="35">
        <f>BI422-AU422/BH422</f>
        <v>206.32838142762066</v>
      </c>
      <c r="BK422" s="35">
        <f>-17.5+3.51*BJ422+38.864*BF422^-0.5-0.30038*BJ422*BF422^-0.5+0.0044766*BJ422^2-23.072/BF422-0.000058066*BJ422^2/BF422-0.010324*BJ422^1.9+IF(BJ422&lt;200,1.6-1.87*BJ422^0.3+0.2012*BF422-21.75*BG422+0.302*BJ422^0.6,-0.19-0.0006295*BJ422+0.7193*BF422^-0.4+41.38*BG422-0.4254*BJ422*BF422^-0.4*BG422)</f>
        <v>599.9187207678202</v>
      </c>
    </row>
    <row r="423" spans="4:63" ht="15.75">
      <c r="D423" s="4">
        <v>4</v>
      </c>
      <c r="E423" s="35">
        <f t="shared" si="34"/>
        <v>16000</v>
      </c>
      <c r="F423" s="35">
        <f t="shared" si="34"/>
        <v>172112.42951668185</v>
      </c>
      <c r="G423" s="35">
        <f t="shared" si="34"/>
        <v>190.4</v>
      </c>
      <c r="H423" s="35">
        <f t="shared" si="34"/>
        <v>19.664</v>
      </c>
      <c r="I423" s="35">
        <f t="shared" si="34"/>
        <v>0.6</v>
      </c>
      <c r="J423" s="35">
        <f t="shared" si="34"/>
        <v>0.236</v>
      </c>
      <c r="K423" s="35">
        <f t="shared" si="34"/>
        <v>19.8</v>
      </c>
      <c r="L423" s="35">
        <f t="shared" si="34"/>
        <v>0.005</v>
      </c>
      <c r="M423" s="35">
        <f t="shared" si="34"/>
        <v>1</v>
      </c>
      <c r="N423" s="35">
        <f t="shared" si="34"/>
        <v>0.16884818671021506</v>
      </c>
      <c r="O423" s="35">
        <f t="shared" si="34"/>
        <v>0.24021278776277238</v>
      </c>
      <c r="P423" s="35">
        <f t="shared" si="34"/>
        <v>15.850995918367346</v>
      </c>
      <c r="Q423" s="35">
        <f t="shared" si="34"/>
        <v>100000</v>
      </c>
      <c r="S423" s="35">
        <f t="shared" si="35"/>
        <v>100</v>
      </c>
      <c r="T423" s="35">
        <f t="shared" si="35"/>
        <v>0.994</v>
      </c>
      <c r="U423" s="35">
        <f t="shared" si="35"/>
        <v>1.340408163265306</v>
      </c>
      <c r="V423" s="35">
        <f t="shared" si="35"/>
        <v>0.02</v>
      </c>
      <c r="X423" s="35">
        <f>AC422</f>
        <v>206.32838142762066</v>
      </c>
      <c r="Y423" s="35">
        <f>AD424</f>
        <v>281.76972443790487</v>
      </c>
      <c r="Z423" s="35">
        <f>AE422</f>
        <v>872.9187207678202</v>
      </c>
      <c r="AA423" s="35">
        <f>AF424</f>
        <v>542.0834555918672</v>
      </c>
      <c r="AC423" s="35">
        <f>BJ423</f>
        <v>189.9613970559258</v>
      </c>
      <c r="AD423" s="35">
        <f>BA423</f>
        <v>305.74255709674713</v>
      </c>
      <c r="AE423" s="35">
        <f>BK423+273</f>
        <v>828.3039798731693</v>
      </c>
      <c r="AF423" s="35">
        <f>BD423</f>
        <v>561.5024709044371</v>
      </c>
      <c r="AH423" s="35">
        <f>Z423-AA423</f>
        <v>330.83526517595305</v>
      </c>
      <c r="AI423" s="35">
        <f>AA423+(L423+1/AN423)*AU423*E423/G423</f>
        <v>651.3069297417246</v>
      </c>
      <c r="AJ423" s="35">
        <f>Z423-273</f>
        <v>599.9187207678202</v>
      </c>
      <c r="AK423" s="35">
        <f>E423*P423/(3600*K423)*(AJ423+273)/273</f>
        <v>11.376796931428377</v>
      </c>
      <c r="AL423" s="35">
        <f>1.723-0.00072545*AJ423-2.1255*N423^0.1+0.00081189*AJ423*N423^0.1+0.00000015846*AJ423^2+1.5631*N423^0.2-0.00000016954*AJ423^2*N423^0.2+257255*AJ423^-0.8*N423^10</f>
        <v>1.0258335770149583</v>
      </c>
      <c r="AM423" s="35">
        <f>H423*AL423*AK423^I423</f>
        <v>86.76823820373875</v>
      </c>
      <c r="AN423" s="35">
        <f>Q423</f>
        <v>100000</v>
      </c>
      <c r="AO423" s="35">
        <f>((0.78+1.6*N423)/(M423*O423*J423)^0.5-0.1)*(1-0.37*Z423/1000)</f>
        <v>2.918380165393516</v>
      </c>
      <c r="AP423" s="35">
        <f>AO423*O423</f>
        <v>0.7010322352807573</v>
      </c>
      <c r="AQ423" s="35">
        <f>1-EXP(-AP423*M423*J423)</f>
        <v>0.15248234452552056</v>
      </c>
      <c r="AR423" s="35">
        <f>0.000000049*(0.82+1)/2*AQ423*Z423^3*(1-(AI423/Z423)^3.6)/(1-AI423/Z423)</f>
        <v>11.606909362822718</v>
      </c>
      <c r="AS423" s="35">
        <f>AM423+AR423</f>
        <v>98.37514756656147</v>
      </c>
      <c r="AT423" s="35">
        <f>1/(1/AS423+L423+1/AN423)</f>
        <v>65.89712445886727</v>
      </c>
      <c r="AU423" s="35">
        <f>AT423*G423*AH423/E423</f>
        <v>259.43300247171743</v>
      </c>
      <c r="AW423" s="35">
        <f t="shared" si="32"/>
        <v>100</v>
      </c>
      <c r="AX423" s="35">
        <f t="shared" si="32"/>
        <v>0.994</v>
      </c>
      <c r="AY423" s="35">
        <f>Y423</f>
        <v>281.76972443790487</v>
      </c>
      <c r="AZ423" s="35">
        <f>AU423*AX423</f>
        <v>257.87640445688714</v>
      </c>
      <c r="BA423" s="35">
        <f>AY423+AZ423*E423/F423</f>
        <v>305.74255709674713</v>
      </c>
      <c r="BB423" s="35">
        <f>193.897+1.6984*AW423-0.0066353*AW423^2+0.0000121825*AW423^3</f>
        <v>309.56649999999996</v>
      </c>
      <c r="BC423" s="35">
        <f>7.058+0.37694*BA423^1.2-0.000087402*BA423^2.4+5.2177*10^12*BA423^-4*AW423^-2</f>
        <v>288.50247090443713</v>
      </c>
      <c r="BD423" s="35">
        <f>BC423+273</f>
        <v>561.5024709044371</v>
      </c>
      <c r="BF423" s="35">
        <f t="shared" si="33"/>
        <v>1.340408163265306</v>
      </c>
      <c r="BG423" s="35">
        <f t="shared" si="33"/>
        <v>0.02</v>
      </c>
      <c r="BH423" s="35">
        <f>P423</f>
        <v>15.850995918367346</v>
      </c>
      <c r="BI423" s="35">
        <f>X423</f>
        <v>206.32838142762066</v>
      </c>
      <c r="BJ423" s="35">
        <f>BI423-AU423/BH423</f>
        <v>189.9613970559258</v>
      </c>
      <c r="BK423" s="35">
        <f>-17.5+3.51*BJ423+38.864*BF423^-0.5-0.30038*BJ423*BF423^-0.5+0.0044766*BJ423^2-23.072/BF423-0.000058066*BJ423^2/BF423-0.010324*BJ423^1.9+IF(BJ423&lt;200,1.6-1.87*BJ423^0.3+0.2012*BF423-21.75*BG423+0.302*BJ423^0.6,-0.19-0.0006295*BJ423+0.7193*BF423^-0.4+41.38*BG423-0.4254*BJ423*BF423^-0.4*BG423)</f>
        <v>555.3039798731693</v>
      </c>
    </row>
    <row r="424" spans="4:63" ht="15.75">
      <c r="D424" s="4">
        <v>5</v>
      </c>
      <c r="E424" s="35">
        <f t="shared" si="34"/>
        <v>16000</v>
      </c>
      <c r="F424" s="35">
        <f t="shared" si="34"/>
        <v>172112.42951668185</v>
      </c>
      <c r="G424" s="35">
        <f t="shared" si="34"/>
        <v>190.4</v>
      </c>
      <c r="H424" s="35">
        <f t="shared" si="34"/>
        <v>19.664</v>
      </c>
      <c r="I424" s="35">
        <f t="shared" si="34"/>
        <v>0.6</v>
      </c>
      <c r="J424" s="35">
        <f t="shared" si="34"/>
        <v>0.236</v>
      </c>
      <c r="K424" s="35">
        <f t="shared" si="34"/>
        <v>19.8</v>
      </c>
      <c r="L424" s="35">
        <f t="shared" si="34"/>
        <v>0.005</v>
      </c>
      <c r="M424" s="35">
        <f t="shared" si="34"/>
        <v>1</v>
      </c>
      <c r="N424" s="35">
        <f t="shared" si="34"/>
        <v>0.16884818671021506</v>
      </c>
      <c r="O424" s="35">
        <f t="shared" si="34"/>
        <v>0.24021278776277238</v>
      </c>
      <c r="P424" s="35">
        <f t="shared" si="34"/>
        <v>15.850995918367346</v>
      </c>
      <c r="Q424" s="35">
        <f t="shared" si="34"/>
        <v>100000</v>
      </c>
      <c r="S424" s="35">
        <f t="shared" si="35"/>
        <v>100</v>
      </c>
      <c r="T424" s="35">
        <f t="shared" si="35"/>
        <v>0.994</v>
      </c>
      <c r="U424" s="35">
        <f t="shared" si="35"/>
        <v>1.340408163265306</v>
      </c>
      <c r="V424" s="35">
        <f t="shared" si="35"/>
        <v>0.02</v>
      </c>
      <c r="X424" s="35">
        <f>AC423</f>
        <v>189.9613970559258</v>
      </c>
      <c r="Y424" s="35">
        <f>Y417</f>
        <v>260</v>
      </c>
      <c r="Z424" s="35">
        <f>AE423</f>
        <v>828.3039798731693</v>
      </c>
      <c r="AA424" s="35">
        <f>AA417</f>
        <v>519</v>
      </c>
      <c r="AC424" s="35">
        <f>BJ424</f>
        <v>175.09854189308913</v>
      </c>
      <c r="AD424" s="35">
        <f>BA424</f>
        <v>281.76972443790487</v>
      </c>
      <c r="AE424" s="35">
        <f>BK424+273</f>
        <v>787.4346516575081</v>
      </c>
      <c r="AF424" s="35">
        <f>BD424</f>
        <v>542.0834555918672</v>
      </c>
      <c r="AH424" s="35">
        <f>Z424-AA424</f>
        <v>309.3039798731693</v>
      </c>
      <c r="AI424" s="35">
        <f>AA424+(L424+1/AN424)*AU424*E424/G424</f>
        <v>618.1858145522906</v>
      </c>
      <c r="AJ424" s="35">
        <f>Z424-273</f>
        <v>555.3039798731693</v>
      </c>
      <c r="AK424" s="35">
        <f>E424*P424/(3600*K424)*(AJ424+273)/273</f>
        <v>10.79533059873216</v>
      </c>
      <c r="AL424" s="35">
        <f>1.723-0.00072545*AJ424-2.1255*N424^0.1+0.00081189*AJ424*N424^0.1+0.00000015846*AJ424^2+1.5631*N424^0.2-0.00000016954*AJ424^2*N424^0.2+257255*AJ424^-0.8*N424^10</f>
        <v>1.0258367616856612</v>
      </c>
      <c r="AM424" s="35">
        <f>H424*AL424*AK424^I424</f>
        <v>84.07980425161013</v>
      </c>
      <c r="AN424" s="35">
        <f>Q424</f>
        <v>100000</v>
      </c>
      <c r="AO424" s="35">
        <f>((0.78+1.6*N424)/(M424*O424*J424)^0.5-0.1)*(1-0.37*Z424/1000)</f>
        <v>2.9895376223373895</v>
      </c>
      <c r="AP424" s="35">
        <f>AO424*O424</f>
        <v>0.7181251663833546</v>
      </c>
      <c r="AQ424" s="35">
        <f>1-EXP(-AP424*M424*J424)</f>
        <v>0.15589428649905435</v>
      </c>
      <c r="AR424" s="35">
        <f>0.000000049*(0.82+1)/2*AQ424*Z424^3*(1-(AI424/Z424)^3.6)/(1-AI424/Z424)</f>
        <v>10.141310541938383</v>
      </c>
      <c r="AS424" s="35">
        <f>AM424+AR424</f>
        <v>94.22111479354851</v>
      </c>
      <c r="AT424" s="35">
        <f>1/(1/AS424+L424+1/AN424)</f>
        <v>64.00683167098704</v>
      </c>
      <c r="AU424" s="35">
        <f>AT424*G424*AH424/E424</f>
        <v>235.5910565214089</v>
      </c>
      <c r="AW424" s="35">
        <f t="shared" si="32"/>
        <v>100</v>
      </c>
      <c r="AX424" s="35">
        <f t="shared" si="32"/>
        <v>0.994</v>
      </c>
      <c r="AY424" s="35">
        <f>Y424</f>
        <v>260</v>
      </c>
      <c r="AZ424" s="35">
        <f>AU424*AX424</f>
        <v>234.17751018228043</v>
      </c>
      <c r="BA424" s="35">
        <f>AY424+AZ424*E424/F424</f>
        <v>281.76972443790487</v>
      </c>
      <c r="BB424" s="35">
        <f>193.897+1.6984*AW424-0.0066353*AW424^2+0.0000121825*AW424^3</f>
        <v>309.56649999999996</v>
      </c>
      <c r="BC424" s="35">
        <f>7.058+0.37694*BA424^1.2-0.000087402*BA424^2.4+5.2177*10^12*BA424^-4*AW424^-2</f>
        <v>269.08345559186716</v>
      </c>
      <c r="BD424" s="35">
        <f>BC424+273</f>
        <v>542.0834555918672</v>
      </c>
      <c r="BF424" s="35">
        <f t="shared" si="33"/>
        <v>1.340408163265306</v>
      </c>
      <c r="BG424" s="35">
        <f t="shared" si="33"/>
        <v>0.02</v>
      </c>
      <c r="BH424" s="35">
        <f>P424</f>
        <v>15.850995918367346</v>
      </c>
      <c r="BI424" s="35">
        <f>X424</f>
        <v>189.9613970559258</v>
      </c>
      <c r="BJ424" s="35">
        <f>BI424-AU424/BH424</f>
        <v>175.09854189308913</v>
      </c>
      <c r="BK424" s="35">
        <f>-17.5+3.51*BJ424+38.864*BF424^-0.5-0.30038*BJ424*BF424^-0.5+0.0044766*BJ424^2-23.072/BF424-0.000058066*BJ424^2/BF424-0.010324*BJ424^1.9+IF(BJ424&lt;200,1.6-1.87*BJ424^0.3+0.2012*BF424-21.75*BG424+0.302*BJ424^0.6,-0.19-0.0006295*BJ424+0.7193*BF424^-0.4+41.38*BG424-0.4254*BJ424*BF424^-0.4*BG424)</f>
        <v>514.4346516575081</v>
      </c>
    </row>
    <row r="425" spans="4:10" ht="15">
      <c r="D425" s="2" t="s">
        <v>1089</v>
      </c>
      <c r="E425" s="24" t="s">
        <v>1090</v>
      </c>
      <c r="F425" s="24"/>
      <c r="G425" s="24"/>
      <c r="H425" s="24"/>
      <c r="I425" s="24"/>
      <c r="J425" s="24"/>
    </row>
    <row r="427" spans="5:9" ht="15">
      <c r="E427" s="24" t="s">
        <v>1091</v>
      </c>
      <c r="F427" s="24"/>
      <c r="G427" s="24"/>
      <c r="H427" s="24"/>
      <c r="I427" s="24"/>
    </row>
    <row r="428" spans="5:6" ht="15">
      <c r="E428" s="2" t="s">
        <v>1092</v>
      </c>
      <c r="F428" s="1" t="s">
        <v>1086</v>
      </c>
    </row>
    <row r="429" ht="15">
      <c r="E429" s="1" t="s">
        <v>1093</v>
      </c>
    </row>
    <row r="430" spans="4:10" ht="15.75">
      <c r="D430" s="1" t="s">
        <v>1094</v>
      </c>
      <c r="E430" s="3" t="s">
        <v>1095</v>
      </c>
      <c r="F430" s="7" t="s">
        <v>1072</v>
      </c>
      <c r="G430" s="3" t="s">
        <v>1030</v>
      </c>
      <c r="H430" s="24" t="s">
        <v>109</v>
      </c>
      <c r="I430" s="7" t="s">
        <v>1036</v>
      </c>
      <c r="J430" s="7" t="s">
        <v>1037</v>
      </c>
    </row>
    <row r="431" spans="5:10" ht="15.75">
      <c r="E431" s="4">
        <v>13.934693431308382</v>
      </c>
      <c r="F431" s="35">
        <f>D437</f>
        <v>0.4852040816326531</v>
      </c>
      <c r="G431" s="35">
        <f>E431-F431</f>
        <v>13.449489349675728</v>
      </c>
      <c r="H431" s="24">
        <v>1</v>
      </c>
      <c r="I431" s="4">
        <v>56</v>
      </c>
      <c r="J431" s="4">
        <v>180</v>
      </c>
    </row>
    <row r="433" ht="15">
      <c r="D433" s="1" t="s">
        <v>941</v>
      </c>
    </row>
    <row r="434" spans="4:12" ht="15.75">
      <c r="D434" s="7" t="s">
        <v>1066</v>
      </c>
      <c r="E434" s="7" t="s">
        <v>1067</v>
      </c>
      <c r="F434" s="7" t="s">
        <v>1010</v>
      </c>
      <c r="G434" s="7" t="s">
        <v>1068</v>
      </c>
      <c r="H434" s="7" t="s">
        <v>1069</v>
      </c>
      <c r="I434" s="7" t="s">
        <v>1070</v>
      </c>
      <c r="J434" s="7" t="s">
        <v>1071</v>
      </c>
      <c r="K434" s="7" t="s">
        <v>1036</v>
      </c>
      <c r="L434" s="1" t="s">
        <v>695</v>
      </c>
    </row>
    <row r="435" spans="3:12" ht="15.75">
      <c r="C435" s="1" t="s">
        <v>1096</v>
      </c>
      <c r="D435" s="4">
        <v>0.05</v>
      </c>
      <c r="E435" s="4">
        <v>15.850995918367346</v>
      </c>
      <c r="F435" s="4">
        <v>244.79723670902135</v>
      </c>
      <c r="G435" s="4">
        <v>0.07136460105255732</v>
      </c>
      <c r="H435" s="4">
        <v>0.7134660084964726</v>
      </c>
      <c r="I435" s="4">
        <v>0.16884818671021506</v>
      </c>
      <c r="J435" s="4">
        <v>0.04803538174643761</v>
      </c>
      <c r="K435" s="35">
        <f>(I431+AD446)/2</f>
        <v>119.84168681047038</v>
      </c>
      <c r="L435" s="4">
        <v>0.02</v>
      </c>
    </row>
    <row r="436" spans="4:12" ht="15.75">
      <c r="D436" s="7" t="s">
        <v>1072</v>
      </c>
      <c r="E436" s="7" t="s">
        <v>699</v>
      </c>
      <c r="F436" s="7" t="s">
        <v>1011</v>
      </c>
      <c r="G436" s="7" t="s">
        <v>645</v>
      </c>
      <c r="H436" s="7" t="s">
        <v>644</v>
      </c>
      <c r="I436" s="7" t="s">
        <v>102</v>
      </c>
      <c r="J436" s="7" t="s">
        <v>646</v>
      </c>
      <c r="K436" s="3" t="s">
        <v>706</v>
      </c>
      <c r="L436" s="7" t="s">
        <v>1012</v>
      </c>
    </row>
    <row r="437" spans="4:12" ht="15.75">
      <c r="D437" s="35">
        <f>D435*9.51/(1-L435)</f>
        <v>0.4852040816326531</v>
      </c>
      <c r="E437" s="35">
        <f>E435+D437</f>
        <v>16.336199999999998</v>
      </c>
      <c r="F437" s="35">
        <f>(F435*E435+K435*D437)/E437</f>
        <v>241.08591199253712</v>
      </c>
      <c r="G437" s="35">
        <f>G435*E435/E437</f>
        <v>0.06924498965487691</v>
      </c>
      <c r="H437" s="35">
        <f>(H435*E435+0.79*D437)/E437</f>
        <v>0.7157391567843946</v>
      </c>
      <c r="I437" s="35">
        <f>(I435*E435+L435*D437)/E437</f>
        <v>0.16442722297719176</v>
      </c>
      <c r="J437" s="35">
        <f>(J435*E435+0.21*D437)/E437</f>
        <v>0.052845918704647166</v>
      </c>
      <c r="K437" s="35">
        <f>1+J437*1.01/(G437*0.21*9.51)</f>
        <v>1.3859620991253643</v>
      </c>
      <c r="L437" s="35">
        <f>-17.5+3.51*F437+38.864*K437^-0.5-0.30038*F437*K437^-0.5+0.0044766*F437^2-23.072/K437-0.000058066*F437^2/K437-0.010324*F437^1.9+IF(F437&lt;200,1.6-1.87*F437^0.3+0.2012*K437-21.75*L435+0.302*F437^0.6,-0.19-0.0006295*F437+0.7193*K437^-0.4+41.38*L435-0.4254*F437*K437^-0.4*L435)</f>
        <v>693.9198339541389</v>
      </c>
    </row>
    <row r="438" spans="7:10" ht="15">
      <c r="G438" s="24" t="s">
        <v>835</v>
      </c>
      <c r="H438" s="24">
        <v>16000</v>
      </c>
      <c r="I438" s="24" t="s">
        <v>1048</v>
      </c>
      <c r="J438" s="24">
        <v>1</v>
      </c>
    </row>
    <row r="440" spans="6:7" ht="15">
      <c r="F440" s="1" t="s">
        <v>1040</v>
      </c>
      <c r="G440" s="1" t="s">
        <v>1057</v>
      </c>
    </row>
    <row r="441" spans="5:27" ht="15.75">
      <c r="E441" s="1" t="s">
        <v>1058</v>
      </c>
      <c r="F441" s="1" t="s">
        <v>1043</v>
      </c>
      <c r="R441" s="1" t="s">
        <v>1059</v>
      </c>
      <c r="S441" s="12" t="s">
        <v>1045</v>
      </c>
      <c r="T441" s="13"/>
      <c r="U441" s="13"/>
      <c r="V441" s="13"/>
      <c r="W441" s="1" t="s">
        <v>1060</v>
      </c>
      <c r="X441" s="12" t="s">
        <v>1047</v>
      </c>
      <c r="Y441" s="13"/>
      <c r="Z441" s="13"/>
      <c r="AA441" s="13"/>
    </row>
    <row r="442" spans="5:27" ht="15">
      <c r="E442" s="24" t="s">
        <v>835</v>
      </c>
      <c r="F442" s="24" t="s">
        <v>1030</v>
      </c>
      <c r="G442" s="24" t="s">
        <v>997</v>
      </c>
      <c r="H442" s="24" t="s">
        <v>1020</v>
      </c>
      <c r="I442" s="24" t="s">
        <v>1021</v>
      </c>
      <c r="J442" s="24" t="s">
        <v>1019</v>
      </c>
      <c r="K442" s="24" t="s">
        <v>1027</v>
      </c>
      <c r="L442" s="24" t="s">
        <v>1028</v>
      </c>
      <c r="M442" s="24" t="s">
        <v>1025</v>
      </c>
      <c r="N442" s="24" t="s">
        <v>1026</v>
      </c>
      <c r="O442" s="24" t="s">
        <v>102</v>
      </c>
      <c r="P442" s="24" t="s">
        <v>699</v>
      </c>
      <c r="Q442" s="24"/>
      <c r="S442" s="24" t="s">
        <v>695</v>
      </c>
      <c r="T442" s="24" t="s">
        <v>840</v>
      </c>
      <c r="U442" s="24" t="s">
        <v>706</v>
      </c>
      <c r="V442" s="24" t="s">
        <v>695</v>
      </c>
      <c r="X442" s="24" t="s">
        <v>1011</v>
      </c>
      <c r="Y442" s="24" t="s">
        <v>1036</v>
      </c>
      <c r="Z442" s="24" t="s">
        <v>992</v>
      </c>
      <c r="AA442" s="24" t="s">
        <v>1029</v>
      </c>
    </row>
    <row r="443" spans="5:27" ht="15.75">
      <c r="E443" s="35">
        <f>H438</f>
        <v>16000</v>
      </c>
      <c r="F443" s="35">
        <f>G431</f>
        <v>13.449489349675728</v>
      </c>
      <c r="G443" s="35">
        <f>5420/5</f>
        <v>1084</v>
      </c>
      <c r="H443" s="4">
        <v>4.3685</v>
      </c>
      <c r="I443" s="4">
        <v>0.8</v>
      </c>
      <c r="J443" s="4">
        <v>11.3</v>
      </c>
      <c r="K443" s="4">
        <v>18.774</v>
      </c>
      <c r="L443" s="4">
        <v>0.6</v>
      </c>
      <c r="M443" s="4">
        <v>10.1</v>
      </c>
      <c r="N443" s="4">
        <v>0.75</v>
      </c>
      <c r="O443" s="35">
        <f>I437</f>
        <v>0.16442722297719176</v>
      </c>
      <c r="P443" s="35">
        <f>E437</f>
        <v>16.336199999999998</v>
      </c>
      <c r="T443" s="4">
        <v>0.994</v>
      </c>
      <c r="U443" s="35">
        <f>K437</f>
        <v>1.3859620991253643</v>
      </c>
      <c r="V443" s="35">
        <f>L435</f>
        <v>0.02</v>
      </c>
      <c r="X443" s="35">
        <f>F437</f>
        <v>241.08591199253712</v>
      </c>
      <c r="Y443" s="35">
        <f>I431</f>
        <v>56</v>
      </c>
      <c r="Z443" s="35">
        <f>L437+273</f>
        <v>966.9198339541389</v>
      </c>
      <c r="AA443" s="35">
        <f>J431+273</f>
        <v>453</v>
      </c>
    </row>
    <row r="444" spans="28:58" ht="15.75">
      <c r="AB444" s="1" t="s">
        <v>1049</v>
      </c>
      <c r="AC444" s="12" t="s">
        <v>1050</v>
      </c>
      <c r="AD444" s="13"/>
      <c r="AE444" s="13"/>
      <c r="AF444" s="13"/>
      <c r="AI444" s="1" t="s">
        <v>987</v>
      </c>
      <c r="AW444" s="1" t="s">
        <v>1051</v>
      </c>
      <c r="BF444" s="1" t="s">
        <v>1009</v>
      </c>
    </row>
    <row r="445" spans="4:63" ht="15">
      <c r="D445" s="5" t="s">
        <v>1052</v>
      </c>
      <c r="E445" s="3" t="s">
        <v>835</v>
      </c>
      <c r="F445" s="3" t="s">
        <v>1030</v>
      </c>
      <c r="G445" s="3" t="s">
        <v>997</v>
      </c>
      <c r="H445" s="3" t="s">
        <v>1020</v>
      </c>
      <c r="I445" s="3" t="s">
        <v>1021</v>
      </c>
      <c r="J445" s="3" t="s">
        <v>1019</v>
      </c>
      <c r="K445" s="3" t="s">
        <v>1027</v>
      </c>
      <c r="L445" s="3" t="s">
        <v>1028</v>
      </c>
      <c r="M445" s="3" t="s">
        <v>1025</v>
      </c>
      <c r="N445" s="3" t="s">
        <v>1026</v>
      </c>
      <c r="O445" s="3" t="s">
        <v>102</v>
      </c>
      <c r="P445" s="3" t="s">
        <v>699</v>
      </c>
      <c r="T445" s="3" t="s">
        <v>840</v>
      </c>
      <c r="U445" s="3" t="s">
        <v>706</v>
      </c>
      <c r="V445" s="1" t="s">
        <v>695</v>
      </c>
      <c r="X445" s="3" t="s">
        <v>1011</v>
      </c>
      <c r="Y445" s="3" t="s">
        <v>1036</v>
      </c>
      <c r="Z445" s="3" t="s">
        <v>992</v>
      </c>
      <c r="AA445" s="3" t="s">
        <v>1029</v>
      </c>
      <c r="AC445" s="24" t="s">
        <v>1011</v>
      </c>
      <c r="AD445" s="24" t="s">
        <v>1036</v>
      </c>
      <c r="AE445" s="24" t="s">
        <v>992</v>
      </c>
      <c r="AF445" s="24" t="s">
        <v>996</v>
      </c>
      <c r="AH445" s="3" t="s">
        <v>1003</v>
      </c>
      <c r="AI445" s="3" t="s">
        <v>991</v>
      </c>
      <c r="AJ445" s="3" t="s">
        <v>1053</v>
      </c>
      <c r="AK445" s="3" t="s">
        <v>1022</v>
      </c>
      <c r="AL445" s="3" t="s">
        <v>1023</v>
      </c>
      <c r="AM445" s="3" t="s">
        <v>1024</v>
      </c>
      <c r="AN445" s="3" t="s">
        <v>1061</v>
      </c>
      <c r="AO445" s="3" t="s">
        <v>1031</v>
      </c>
      <c r="AP445" s="3" t="s">
        <v>1032</v>
      </c>
      <c r="AQ445" s="3" t="s">
        <v>1033</v>
      </c>
      <c r="AT445" s="3" t="s">
        <v>1002</v>
      </c>
      <c r="AU445" s="3" t="s">
        <v>1004</v>
      </c>
      <c r="AW445" s="3" t="s">
        <v>695</v>
      </c>
      <c r="AX445" s="3" t="s">
        <v>840</v>
      </c>
      <c r="AY445" s="3" t="s">
        <v>1035</v>
      </c>
      <c r="AZ445" s="3" t="s">
        <v>1007</v>
      </c>
      <c r="BA445" s="3" t="s">
        <v>1036</v>
      </c>
      <c r="BC445" s="3" t="s">
        <v>1037</v>
      </c>
      <c r="BD445" s="3" t="s">
        <v>996</v>
      </c>
      <c r="BF445" s="3" t="s">
        <v>706</v>
      </c>
      <c r="BG445" s="1" t="s">
        <v>695</v>
      </c>
      <c r="BH445" s="3" t="s">
        <v>699</v>
      </c>
      <c r="BI445" s="3" t="s">
        <v>1010</v>
      </c>
      <c r="BJ445" s="3" t="s">
        <v>1011</v>
      </c>
      <c r="BK445" s="3" t="s">
        <v>1012</v>
      </c>
    </row>
    <row r="446" spans="4:63" ht="15.75">
      <c r="D446" s="4">
        <v>1</v>
      </c>
      <c r="E446" s="35">
        <f aca="true" t="shared" si="36" ref="E446:P446">E443</f>
        <v>16000</v>
      </c>
      <c r="F446" s="35">
        <f t="shared" si="36"/>
        <v>13.449489349675728</v>
      </c>
      <c r="G446" s="35">
        <f t="shared" si="36"/>
        <v>1084</v>
      </c>
      <c r="H446" s="35">
        <f t="shared" si="36"/>
        <v>4.3685</v>
      </c>
      <c r="I446" s="35">
        <f t="shared" si="36"/>
        <v>0.8</v>
      </c>
      <c r="J446" s="35">
        <f t="shared" si="36"/>
        <v>11.3</v>
      </c>
      <c r="K446" s="35">
        <f t="shared" si="36"/>
        <v>18.774</v>
      </c>
      <c r="L446" s="35">
        <f t="shared" si="36"/>
        <v>0.6</v>
      </c>
      <c r="M446" s="35">
        <f t="shared" si="36"/>
        <v>10.1</v>
      </c>
      <c r="N446" s="35">
        <f t="shared" si="36"/>
        <v>0.75</v>
      </c>
      <c r="O446" s="35">
        <f t="shared" si="36"/>
        <v>0.16442722297719176</v>
      </c>
      <c r="P446" s="35">
        <f t="shared" si="36"/>
        <v>16.336199999999998</v>
      </c>
      <c r="T446" s="35">
        <f>T443</f>
        <v>0.994</v>
      </c>
      <c r="U446" s="35">
        <f>U443</f>
        <v>1.3859620991253643</v>
      </c>
      <c r="V446" s="35">
        <f>V443</f>
        <v>0.02</v>
      </c>
      <c r="X446" s="35">
        <f>X443</f>
        <v>241.08591199253712</v>
      </c>
      <c r="Y446" s="35">
        <f>AD447</f>
        <v>161.90931702563745</v>
      </c>
      <c r="Z446" s="35">
        <f>Z443</f>
        <v>966.9198339541389</v>
      </c>
      <c r="AA446" s="35">
        <f>AF447</f>
        <v>775.6935916685527</v>
      </c>
      <c r="AC446" s="35">
        <f>BJ446</f>
        <v>223.05126206374283</v>
      </c>
      <c r="AD446" s="35">
        <f>BA446</f>
        <v>183.68337362094076</v>
      </c>
      <c r="AE446" s="35">
        <f>BK446+273</f>
        <v>918.860984381895</v>
      </c>
      <c r="AF446" s="35">
        <f>BD446</f>
        <v>839.7799237530942</v>
      </c>
      <c r="AH446" s="35">
        <f>Z446-AA446</f>
        <v>191.22624228558618</v>
      </c>
      <c r="AI446" s="35">
        <f>(Z446+AA446)/2</f>
        <v>871.3067128113457</v>
      </c>
      <c r="AJ446" s="35">
        <f>Z446-273</f>
        <v>693.9198339541389</v>
      </c>
      <c r="AK446" s="35">
        <f>E446*P446/(3600*J446)*(AJ446+273)/273</f>
        <v>22.757151561104596</v>
      </c>
      <c r="AL446" s="35">
        <f>1.6256-0.045133*(Z446-273)^0.5+0.4512*O446+0.093678*(Z446-273)^0.5*O446+0.00045725*(Z446-273)+1.5688*O446^2-0.12748*(Z446-273)^0.5*O446^1.2</f>
        <v>0.8915196077881681</v>
      </c>
      <c r="AM446" s="35">
        <f>H446*AL446*AK446^I446</f>
        <v>47.4414070232076</v>
      </c>
      <c r="AN446" s="35">
        <f>AA446-273</f>
        <v>502.6935916685527</v>
      </c>
      <c r="AO446" s="35">
        <f>E446*F446/(3600*M446)*(AN446+273)/273</f>
        <v>16.816261801614157</v>
      </c>
      <c r="AP446" s="35">
        <f>2.2357-0.72908*(AA446-173)^0.1-0.0082964*(AA446-173)^0.2</f>
        <v>0.8229713250398087</v>
      </c>
      <c r="AQ446" s="35">
        <f>K446*AP446*AO446^L446</f>
        <v>84.0193258966251</v>
      </c>
      <c r="AT446" s="35">
        <f>N446/(1/AM446+1/AQ446)</f>
        <v>22.740602549972404</v>
      </c>
      <c r="AU446" s="35">
        <f>AT446*G446*AH446/E446</f>
        <v>294.61764816676913</v>
      </c>
      <c r="AW446" s="35">
        <f>V446</f>
        <v>0.02</v>
      </c>
      <c r="AX446" s="35">
        <f>T446</f>
        <v>0.994</v>
      </c>
      <c r="AY446" s="35">
        <f>Y446</f>
        <v>161.90931702563745</v>
      </c>
      <c r="AZ446" s="35">
        <f>AU446*AX446</f>
        <v>292.8499422777685</v>
      </c>
      <c r="BA446" s="35">
        <f>AY446+AZ446/F446</f>
        <v>183.68337362094076</v>
      </c>
      <c r="BC446" s="35">
        <f>3.2584*BA446-0.00087946*BA446^2-0.56112*BA446*AW446</f>
        <v>566.7799237530942</v>
      </c>
      <c r="BD446" s="35">
        <f>BC446+273</f>
        <v>839.7799237530942</v>
      </c>
      <c r="BF446" s="35">
        <f aca="true" t="shared" si="37" ref="BF446:BG450">U446</f>
        <v>1.3859620991253643</v>
      </c>
      <c r="BG446" s="35">
        <f t="shared" si="37"/>
        <v>0.02</v>
      </c>
      <c r="BH446" s="35">
        <f>P446</f>
        <v>16.336199999999998</v>
      </c>
      <c r="BI446" s="35">
        <f>X446</f>
        <v>241.08591199253712</v>
      </c>
      <c r="BJ446" s="35">
        <f>BI446-AU446/BH446</f>
        <v>223.05126206374283</v>
      </c>
      <c r="BK446" s="35">
        <f>-17.5+3.51*BJ446+38.864*BF446^-0.5-0.30038*BJ446*BF446^-0.5+0.0044766*BJ446^2-23.072/BF446-0.000058066*BJ446^2/BF446-0.010324*BJ446^1.9+IF(BJ446&lt;200,1.6-1.87*BJ446^0.3+0.2012*BF446-21.75*BG446+0.302*BJ446^0.6,-0.19-0.0006295*BJ446+0.7193*BF446^-0.4+41.38*BG446-0.4254*BJ446*BF446^-0.4*BG446)</f>
        <v>645.860984381895</v>
      </c>
    </row>
    <row r="447" spans="4:63" ht="15.75">
      <c r="D447" s="4">
        <v>2</v>
      </c>
      <c r="E447" s="35">
        <f aca="true" t="shared" si="38" ref="E447:P450">E446</f>
        <v>16000</v>
      </c>
      <c r="F447" s="35">
        <f t="shared" si="38"/>
        <v>13.449489349675728</v>
      </c>
      <c r="G447" s="35">
        <f t="shared" si="38"/>
        <v>1084</v>
      </c>
      <c r="H447" s="35">
        <f t="shared" si="38"/>
        <v>4.3685</v>
      </c>
      <c r="I447" s="35">
        <f t="shared" si="38"/>
        <v>0.8</v>
      </c>
      <c r="J447" s="35">
        <f t="shared" si="38"/>
        <v>11.3</v>
      </c>
      <c r="K447" s="35">
        <f t="shared" si="38"/>
        <v>18.774</v>
      </c>
      <c r="L447" s="35">
        <f t="shared" si="38"/>
        <v>0.6</v>
      </c>
      <c r="M447" s="35">
        <f t="shared" si="38"/>
        <v>10.1</v>
      </c>
      <c r="N447" s="35">
        <f t="shared" si="38"/>
        <v>0.75</v>
      </c>
      <c r="O447" s="35">
        <f t="shared" si="38"/>
        <v>0.16442722297719176</v>
      </c>
      <c r="P447" s="35">
        <f t="shared" si="38"/>
        <v>16.336199999999998</v>
      </c>
      <c r="T447" s="35">
        <f aca="true" t="shared" si="39" ref="T447:V450">T446</f>
        <v>0.994</v>
      </c>
      <c r="U447" s="35">
        <f t="shared" si="39"/>
        <v>1.3859620991253643</v>
      </c>
      <c r="V447" s="35">
        <f t="shared" si="39"/>
        <v>0.02</v>
      </c>
      <c r="X447" s="35">
        <f>AC446</f>
        <v>223.05126206374283</v>
      </c>
      <c r="Y447" s="35">
        <f>AD448</f>
        <v>138.14871939450376</v>
      </c>
      <c r="Z447" s="35">
        <f>AE446</f>
        <v>918.860984381895</v>
      </c>
      <c r="AA447" s="35">
        <f>AF448</f>
        <v>704.8088725936998</v>
      </c>
      <c r="AC447" s="35">
        <f>BJ447</f>
        <v>203.37123328725542</v>
      </c>
      <c r="AD447" s="35">
        <f>BA447</f>
        <v>161.90931702563745</v>
      </c>
      <c r="AE447" s="35">
        <f>BK447+273</f>
        <v>865.892746072745</v>
      </c>
      <c r="AF447" s="35">
        <f>BD447</f>
        <v>775.6935916685527</v>
      </c>
      <c r="AH447" s="35">
        <f>Z447-AA447</f>
        <v>214.05211178819525</v>
      </c>
      <c r="AI447" s="35">
        <f>(Z447+AA447)/2</f>
        <v>811.8349284877975</v>
      </c>
      <c r="AJ447" s="35">
        <f>Z447-273</f>
        <v>645.860984381895</v>
      </c>
      <c r="AK447" s="35">
        <f>E447*P447/(3600*J447)*(AJ447+273)/273</f>
        <v>21.626052078849323</v>
      </c>
      <c r="AL447" s="35">
        <f>1.6256-0.045133*(Z447-273)^0.5+0.4512*O447+0.093678*(Z447-273)^0.5*O447+0.00045725*(Z447-273)+1.5688*O447^2-0.12748*(Z447-273)^0.5*O447^1.2</f>
        <v>0.9107157446690858</v>
      </c>
      <c r="AM447" s="35">
        <f>H447*AL447*AK447^I447</f>
        <v>46.52613542618418</v>
      </c>
      <c r="AN447" s="35">
        <f>AA447-273</f>
        <v>431.8088725936998</v>
      </c>
      <c r="AO447" s="35">
        <f>E447*F447/(3600*M447)*(AN447+273)/273</f>
        <v>15.279551937694157</v>
      </c>
      <c r="AP447" s="35">
        <f>2.2357-0.72908*(AA447-173)^0.1-0.0082964*(AA447-173)^0.2</f>
        <v>0.840904454631746</v>
      </c>
      <c r="AQ447" s="35">
        <f>K447*AP447*AO447^L447</f>
        <v>81.05313887995044</v>
      </c>
      <c r="AT447" s="35">
        <f>N447/(1/AM447+1/AQ447)</f>
        <v>22.16909449098832</v>
      </c>
      <c r="AU447" s="35">
        <f>AT447*G447*AH447/E447</f>
        <v>321.4968860984535</v>
      </c>
      <c r="AW447" s="35">
        <f>V447</f>
        <v>0.02</v>
      </c>
      <c r="AX447" s="35">
        <f>T447</f>
        <v>0.994</v>
      </c>
      <c r="AY447" s="35">
        <f>Y447</f>
        <v>138.14871939450376</v>
      </c>
      <c r="AZ447" s="35">
        <f>AU447*AX447</f>
        <v>319.56790478186275</v>
      </c>
      <c r="BA447" s="35">
        <f>AY447+AZ447/F447</f>
        <v>161.90931702563745</v>
      </c>
      <c r="BC447" s="35">
        <f>3.2584*BA447-0.00087946*BA447^2-0.56112*BA447*AW447</f>
        <v>502.69359166855264</v>
      </c>
      <c r="BD447" s="35">
        <f>BC447+273</f>
        <v>775.6935916685527</v>
      </c>
      <c r="BF447" s="35">
        <f t="shared" si="37"/>
        <v>1.3859620991253643</v>
      </c>
      <c r="BG447" s="35">
        <f t="shared" si="37"/>
        <v>0.02</v>
      </c>
      <c r="BH447" s="35">
        <f>P447</f>
        <v>16.336199999999998</v>
      </c>
      <c r="BI447" s="35">
        <f>X447</f>
        <v>223.05126206374283</v>
      </c>
      <c r="BJ447" s="35">
        <f>BI447-AU447/BH447</f>
        <v>203.37123328725542</v>
      </c>
      <c r="BK447" s="35">
        <f>-17.5+3.51*BJ447+38.864*BF447^-0.5-0.30038*BJ447*BF447^-0.5+0.0044766*BJ447^2-23.072/BF447-0.000058066*BJ447^2/BF447-0.010324*BJ447^1.9+IF(BJ447&lt;200,1.6-1.87*BJ447^0.3+0.2012*BF447-21.75*BG447+0.302*BJ447^0.6,-0.19-0.0006295*BJ447+0.7193*BF447^-0.4+41.38*BG447-0.4254*BJ447*BF447^-0.4*BG447)</f>
        <v>592.892746072745</v>
      </c>
    </row>
    <row r="448" spans="4:63" ht="15.75">
      <c r="D448" s="4">
        <v>3</v>
      </c>
      <c r="E448" s="35">
        <f t="shared" si="38"/>
        <v>16000</v>
      </c>
      <c r="F448" s="35">
        <f t="shared" si="38"/>
        <v>13.449489349675728</v>
      </c>
      <c r="G448" s="35">
        <f t="shared" si="38"/>
        <v>1084</v>
      </c>
      <c r="H448" s="35">
        <f t="shared" si="38"/>
        <v>4.3685</v>
      </c>
      <c r="I448" s="35">
        <f t="shared" si="38"/>
        <v>0.8</v>
      </c>
      <c r="J448" s="35">
        <f t="shared" si="38"/>
        <v>11.3</v>
      </c>
      <c r="K448" s="35">
        <f t="shared" si="38"/>
        <v>18.774</v>
      </c>
      <c r="L448" s="35">
        <f t="shared" si="38"/>
        <v>0.6</v>
      </c>
      <c r="M448" s="35">
        <f t="shared" si="38"/>
        <v>10.1</v>
      </c>
      <c r="N448" s="35">
        <f t="shared" si="38"/>
        <v>0.75</v>
      </c>
      <c r="O448" s="35">
        <f t="shared" si="38"/>
        <v>0.16442722297719176</v>
      </c>
      <c r="P448" s="35">
        <f t="shared" si="38"/>
        <v>16.336199999999998</v>
      </c>
      <c r="T448" s="35">
        <f t="shared" si="39"/>
        <v>0.994</v>
      </c>
      <c r="U448" s="35">
        <f t="shared" si="39"/>
        <v>1.3859620991253643</v>
      </c>
      <c r="V448" s="35">
        <f t="shared" si="39"/>
        <v>0.02</v>
      </c>
      <c r="X448" s="35">
        <f>AC447</f>
        <v>203.37123328725542</v>
      </c>
      <c r="Y448" s="35">
        <f>AD449</f>
        <v>112.41829225677728</v>
      </c>
      <c r="Z448" s="35">
        <f>AE447</f>
        <v>865.892746072745</v>
      </c>
      <c r="AA448" s="35">
        <f>AF449</f>
        <v>626.9276571557164</v>
      </c>
      <c r="AC448" s="35">
        <f>BJ448</f>
        <v>182.0596672078626</v>
      </c>
      <c r="AD448" s="35">
        <f>BA448</f>
        <v>138.1487193945038</v>
      </c>
      <c r="AE448" s="35">
        <f>BK448+273</f>
        <v>807.4691319405975</v>
      </c>
      <c r="AF448" s="35">
        <f>BD448</f>
        <v>704.8088725936998</v>
      </c>
      <c r="AH448" s="35">
        <f>Z448-AA448</f>
        <v>238.96508891702865</v>
      </c>
      <c r="AI448" s="35">
        <f>(Z448+AA448)/2</f>
        <v>746.4102016142307</v>
      </c>
      <c r="AJ448" s="35">
        <f>Z448-273</f>
        <v>592.892746072745</v>
      </c>
      <c r="AK448" s="35">
        <f>E448*P448/(3600*J448)*(AJ448+273)/273</f>
        <v>20.379406612702844</v>
      </c>
      <c r="AL448" s="35">
        <f>1.6256-0.045133*(Z448-273)^0.5+0.4512*O448+0.093678*(Z448-273)^0.5*O448+0.00045725*(Z448-273)+1.5688*O448^2-0.12748*(Z448-273)^0.5*O448^1.2</f>
        <v>0.933690137077915</v>
      </c>
      <c r="AM448" s="35">
        <f>H448*AL448*AK448^I448</f>
        <v>45.48710935381248</v>
      </c>
      <c r="AN448" s="35">
        <f>AA448-273</f>
        <v>353.92765715571636</v>
      </c>
      <c r="AO448" s="35">
        <f>E448*F448/(3600*M448)*(AN448+273)/273</f>
        <v>13.59116502525895</v>
      </c>
      <c r="AP448" s="35">
        <f>2.2357-0.72908*(AA448-173)^0.1-0.0082964*(AA448-173)^0.2</f>
        <v>0.8632667161135005</v>
      </c>
      <c r="AQ448" s="35">
        <f>K448*AP448*AO448^L448</f>
        <v>77.56321845702625</v>
      </c>
      <c r="AT448" s="35">
        <f>N448/(1/AM448+1/AQ448)</f>
        <v>21.504168228702778</v>
      </c>
      <c r="AU448" s="35">
        <f>AT448*G448*AH448/E448</f>
        <v>348.1500057861771</v>
      </c>
      <c r="AW448" s="35">
        <f>V448</f>
        <v>0.02</v>
      </c>
      <c r="AX448" s="35">
        <f>T448</f>
        <v>0.994</v>
      </c>
      <c r="AY448" s="35">
        <f>Y448</f>
        <v>112.41829225677728</v>
      </c>
      <c r="AZ448" s="35">
        <f>AU448*AX448</f>
        <v>346.06110575146</v>
      </c>
      <c r="BA448" s="35">
        <f>AY448+AZ448/F448</f>
        <v>138.1487193945038</v>
      </c>
      <c r="BC448" s="35">
        <f>3.2584*BA448-0.00087946*BA448^2-0.56112*BA448*AW448</f>
        <v>431.80887259369985</v>
      </c>
      <c r="BD448" s="35">
        <f>BC448+273</f>
        <v>704.8088725936998</v>
      </c>
      <c r="BF448" s="35">
        <f t="shared" si="37"/>
        <v>1.3859620991253643</v>
      </c>
      <c r="BG448" s="35">
        <f t="shared" si="37"/>
        <v>0.02</v>
      </c>
      <c r="BH448" s="35">
        <f>P448</f>
        <v>16.336199999999998</v>
      </c>
      <c r="BI448" s="35">
        <f>X448</f>
        <v>203.37123328725542</v>
      </c>
      <c r="BJ448" s="35">
        <f>BI448-AU448/BH448</f>
        <v>182.0596672078626</v>
      </c>
      <c r="BK448" s="35">
        <f>-17.5+3.51*BJ448+38.864*BF448^-0.5-0.30038*BJ448*BF448^-0.5+0.0044766*BJ448^2-23.072/BF448-0.000058066*BJ448^2/BF448-0.010324*BJ448^1.9+IF(BJ448&lt;200,1.6-1.87*BJ448^0.3+0.2012*BF448-21.75*BG448+0.302*BJ448^0.6,-0.19-0.0006295*BJ448+0.7193*BF448^-0.4+41.38*BG448-0.4254*BJ448*BF448^-0.4*BG448)</f>
        <v>534.4691319405975</v>
      </c>
    </row>
    <row r="449" spans="4:63" ht="15.75">
      <c r="D449" s="4">
        <v>4</v>
      </c>
      <c r="E449" s="35">
        <f t="shared" si="38"/>
        <v>16000</v>
      </c>
      <c r="F449" s="35">
        <f t="shared" si="38"/>
        <v>13.449489349675728</v>
      </c>
      <c r="G449" s="35">
        <f t="shared" si="38"/>
        <v>1084</v>
      </c>
      <c r="H449" s="35">
        <f t="shared" si="38"/>
        <v>4.3685</v>
      </c>
      <c r="I449" s="35">
        <f t="shared" si="38"/>
        <v>0.8</v>
      </c>
      <c r="J449" s="35">
        <f t="shared" si="38"/>
        <v>11.3</v>
      </c>
      <c r="K449" s="35">
        <f t="shared" si="38"/>
        <v>18.774</v>
      </c>
      <c r="L449" s="35">
        <f t="shared" si="38"/>
        <v>0.6</v>
      </c>
      <c r="M449" s="35">
        <f t="shared" si="38"/>
        <v>10.1</v>
      </c>
      <c r="N449" s="35">
        <f t="shared" si="38"/>
        <v>0.75</v>
      </c>
      <c r="O449" s="35">
        <f t="shared" si="38"/>
        <v>0.16442722297719176</v>
      </c>
      <c r="P449" s="35">
        <f t="shared" si="38"/>
        <v>16.336199999999998</v>
      </c>
      <c r="T449" s="35">
        <f t="shared" si="39"/>
        <v>0.994</v>
      </c>
      <c r="U449" s="35">
        <f t="shared" si="39"/>
        <v>1.3859620991253643</v>
      </c>
      <c r="V449" s="35">
        <f t="shared" si="39"/>
        <v>0.02</v>
      </c>
      <c r="X449" s="35">
        <f>AC448</f>
        <v>182.0596672078626</v>
      </c>
      <c r="Y449" s="35">
        <f>AD450</f>
        <v>84.90758102335668</v>
      </c>
      <c r="Z449" s="35">
        <f>AE448</f>
        <v>807.4691319405975</v>
      </c>
      <c r="AA449" s="35">
        <f>AF450</f>
        <v>542.3697065523697</v>
      </c>
      <c r="AC449" s="35">
        <f>BJ449</f>
        <v>159.27355731532614</v>
      </c>
      <c r="AD449" s="35">
        <f>BA449</f>
        <v>112.4182922567773</v>
      </c>
      <c r="AE449" s="35">
        <f>BK449+273</f>
        <v>744.2561088866573</v>
      </c>
      <c r="AF449" s="35">
        <f>BD449</f>
        <v>626.9276571557165</v>
      </c>
      <c r="AH449" s="35">
        <f>Z449-AA449</f>
        <v>265.0994253882278</v>
      </c>
      <c r="AI449" s="35">
        <f>(Z449+AA449)/2</f>
        <v>674.9194192464836</v>
      </c>
      <c r="AJ449" s="35">
        <f>Z449-273</f>
        <v>534.4691319405975</v>
      </c>
      <c r="AK449" s="35">
        <f>E449*P449/(3600*J449)*(AJ449+273)/273</f>
        <v>19.004364965128335</v>
      </c>
      <c r="AL449" s="35">
        <f>1.6256-0.045133*(Z449-273)^0.5+0.4512*O449+0.093678*(Z449-273)^0.5*O449+0.00045725*(Z449-273)+1.5688*O449^2-0.12748*(Z449-273)^0.5*O449^1.2</f>
        <v>0.9615477310251789</v>
      </c>
      <c r="AM449" s="35">
        <f>H449*AL449*AK449^I449</f>
        <v>44.29817935179693</v>
      </c>
      <c r="AN449" s="35">
        <f>AA449-273</f>
        <v>269.36970655236973</v>
      </c>
      <c r="AO449" s="35">
        <f>E449*F449/(3600*M449)*(AN449+273)/273</f>
        <v>11.7580331674913</v>
      </c>
      <c r="AP449" s="35">
        <f>2.2357-0.72908*(AA449-173)^0.1-0.0082964*(AA449-173)^0.2</f>
        <v>0.8918320947744435</v>
      </c>
      <c r="AQ449" s="35">
        <f>K449*AP449*AO449^L449</f>
        <v>73.4582739554466</v>
      </c>
      <c r="AT449" s="35">
        <f>N449/(1/AM449+1/AQ449)</f>
        <v>20.725410602730253</v>
      </c>
      <c r="AU449" s="35">
        <f>AT449*G449*AH449/E449</f>
        <v>372.2384484264538</v>
      </c>
      <c r="AW449" s="35">
        <f>V449</f>
        <v>0.02</v>
      </c>
      <c r="AX449" s="35">
        <f>T449</f>
        <v>0.994</v>
      </c>
      <c r="AY449" s="35">
        <f>Y449</f>
        <v>84.90758102335668</v>
      </c>
      <c r="AZ449" s="35">
        <f>AU449*AX449</f>
        <v>370.005017735895</v>
      </c>
      <c r="BA449" s="35">
        <f>AY449+AZ449/F449</f>
        <v>112.4182922567773</v>
      </c>
      <c r="BC449" s="35">
        <f>3.2584*BA449-0.00087946*BA449^2-0.56112*BA449*AW449</f>
        <v>353.9276571557165</v>
      </c>
      <c r="BD449" s="35">
        <f>BC449+273</f>
        <v>626.9276571557165</v>
      </c>
      <c r="BF449" s="35">
        <f t="shared" si="37"/>
        <v>1.3859620991253643</v>
      </c>
      <c r="BG449" s="35">
        <f t="shared" si="37"/>
        <v>0.02</v>
      </c>
      <c r="BH449" s="35">
        <f>P449</f>
        <v>16.336199999999998</v>
      </c>
      <c r="BI449" s="35">
        <f>X449</f>
        <v>182.0596672078626</v>
      </c>
      <c r="BJ449" s="35">
        <f>BI449-AU449/BH449</f>
        <v>159.27355731532614</v>
      </c>
      <c r="BK449" s="35">
        <f>-17.5+3.51*BJ449+38.864*BF449^-0.5-0.30038*BJ449*BF449^-0.5+0.0044766*BJ449^2-23.072/BF449-0.000058066*BJ449^2/BF449-0.010324*BJ449^1.9+IF(BJ449&lt;200,1.6-1.87*BJ449^0.3+0.2012*BF449-21.75*BG449+0.302*BJ449^0.6,-0.19-0.0006295*BJ449+0.7193*BF449^-0.4+41.38*BG449-0.4254*BJ449*BF449^-0.4*BG449)</f>
        <v>471.25610888665733</v>
      </c>
    </row>
    <row r="450" spans="4:63" ht="15.75">
      <c r="D450" s="4">
        <v>5</v>
      </c>
      <c r="E450" s="35">
        <f t="shared" si="38"/>
        <v>16000</v>
      </c>
      <c r="F450" s="35">
        <f t="shared" si="38"/>
        <v>13.449489349675728</v>
      </c>
      <c r="G450" s="35">
        <f t="shared" si="38"/>
        <v>1084</v>
      </c>
      <c r="H450" s="35">
        <f t="shared" si="38"/>
        <v>4.3685</v>
      </c>
      <c r="I450" s="35">
        <f t="shared" si="38"/>
        <v>0.8</v>
      </c>
      <c r="J450" s="35">
        <f t="shared" si="38"/>
        <v>11.3</v>
      </c>
      <c r="K450" s="35">
        <f t="shared" si="38"/>
        <v>18.774</v>
      </c>
      <c r="L450" s="35">
        <f t="shared" si="38"/>
        <v>0.6</v>
      </c>
      <c r="M450" s="35">
        <f t="shared" si="38"/>
        <v>10.1</v>
      </c>
      <c r="N450" s="35">
        <f t="shared" si="38"/>
        <v>0.75</v>
      </c>
      <c r="O450" s="35">
        <f t="shared" si="38"/>
        <v>0.16442722297719176</v>
      </c>
      <c r="P450" s="35">
        <f t="shared" si="38"/>
        <v>16.336199999999998</v>
      </c>
      <c r="T450" s="35">
        <f t="shared" si="39"/>
        <v>0.994</v>
      </c>
      <c r="U450" s="35">
        <f t="shared" si="39"/>
        <v>1.3859620991253643</v>
      </c>
      <c r="V450" s="35">
        <f t="shared" si="39"/>
        <v>0.02</v>
      </c>
      <c r="X450" s="35">
        <f>AC449</f>
        <v>159.27355731532614</v>
      </c>
      <c r="Y450" s="35">
        <f>Y443</f>
        <v>56</v>
      </c>
      <c r="Z450" s="35">
        <f>AE449</f>
        <v>744.2561088866573</v>
      </c>
      <c r="AA450" s="35">
        <f>AA443</f>
        <v>453</v>
      </c>
      <c r="AC450" s="35">
        <f>BJ450</f>
        <v>135.33047157185712</v>
      </c>
      <c r="AD450" s="35">
        <f>BA450</f>
        <v>84.90758102335668</v>
      </c>
      <c r="AE450" s="35">
        <f>BK450+273</f>
        <v>676.85087968586</v>
      </c>
      <c r="AF450" s="35">
        <f>BD450</f>
        <v>542.3697065523697</v>
      </c>
      <c r="AH450" s="35">
        <f>Z450-AA450</f>
        <v>291.25610888665733</v>
      </c>
      <c r="AI450" s="35">
        <f>(Z450+AA450)/2</f>
        <v>598.6280544433287</v>
      </c>
      <c r="AJ450" s="35">
        <f>Z450-273</f>
        <v>471.25610888665733</v>
      </c>
      <c r="AK450" s="35">
        <f>E450*P450/(3600*J450)*(AJ450+273)/273</f>
        <v>17.51660114463528</v>
      </c>
      <c r="AL450" s="35">
        <f>1.6256-0.045133*(Z450-273)^0.5+0.4512*O450+0.093678*(Z450-273)^0.5*O450+0.00045725*(Z450-273)+1.5688*O450^2-0.12748*(Z450-273)^0.5*O450^1.2</f>
        <v>0.9951676384692008</v>
      </c>
      <c r="AM450" s="35">
        <f>H450*AL450*AK450^I450</f>
        <v>42.95250112261126</v>
      </c>
      <c r="AN450" s="35">
        <f>AA450-273</f>
        <v>180</v>
      </c>
      <c r="AO450" s="35">
        <f>E450*F450/(3600*M450)*(AN450+273)/273</f>
        <v>9.820587249850869</v>
      </c>
      <c r="AP450" s="35">
        <f>2.2357-0.72908*(AA450-173)^0.1-0.0082964*(AA450-173)^0.2</f>
        <v>0.9292666897878644</v>
      </c>
      <c r="AQ450" s="35">
        <f>K450*AP450*AO450^L450</f>
        <v>68.70362597220864</v>
      </c>
      <c r="AT450" s="35">
        <f>N450/(1/AM450+1/AQ450)</f>
        <v>19.821970243465003</v>
      </c>
      <c r="AU450" s="35">
        <f>AT450*G450*AH450/E450</f>
        <v>391.13903732245865</v>
      </c>
      <c r="AW450" s="35">
        <f>V450</f>
        <v>0.02</v>
      </c>
      <c r="AX450" s="35">
        <f>T450</f>
        <v>0.994</v>
      </c>
      <c r="AY450" s="35">
        <f>Y450</f>
        <v>56</v>
      </c>
      <c r="AZ450" s="35">
        <f>AU450*AX450</f>
        <v>388.7922030985239</v>
      </c>
      <c r="BA450" s="35">
        <f>AY450+AZ450/F450</f>
        <v>84.90758102335668</v>
      </c>
      <c r="BC450" s="35">
        <f>3.2584*BA450-0.00087946*BA450^2-0.56112*BA450*AW450</f>
        <v>269.3697065523698</v>
      </c>
      <c r="BD450" s="35">
        <f>BC450+273</f>
        <v>542.3697065523697</v>
      </c>
      <c r="BF450" s="35">
        <f t="shared" si="37"/>
        <v>1.3859620991253643</v>
      </c>
      <c r="BG450" s="35">
        <f t="shared" si="37"/>
        <v>0.02</v>
      </c>
      <c r="BH450" s="35">
        <f>P450</f>
        <v>16.336199999999998</v>
      </c>
      <c r="BI450" s="35">
        <f>X450</f>
        <v>159.27355731532614</v>
      </c>
      <c r="BJ450" s="35">
        <f>BI450-AU450/BH450</f>
        <v>135.33047157185712</v>
      </c>
      <c r="BK450" s="35">
        <f>-17.5+3.51*BJ450+38.864*BF450^-0.5-0.30038*BJ450*BF450^-0.5+0.0044766*BJ450^2-23.072/BF450-0.000058066*BJ450^2/BF450-0.010324*BJ450^1.9+IF(BJ450&lt;200,1.6-1.87*BJ450^0.3+0.2012*BF450-21.75*BG450+0.302*BJ450^0.6,-0.19-0.0006295*BJ450+0.7193*BF450^-0.4+41.38*BG450-0.4254*BJ450*BF450^-0.4*BG450)</f>
        <v>403.85087968586</v>
      </c>
    </row>
    <row r="451" spans="4:10" ht="15">
      <c r="D451" s="2" t="s">
        <v>1097</v>
      </c>
      <c r="E451" s="24" t="s">
        <v>1098</v>
      </c>
      <c r="F451" s="24"/>
      <c r="G451" s="24"/>
      <c r="H451" s="24"/>
      <c r="I451" s="24"/>
      <c r="J451" s="24"/>
    </row>
    <row r="454" spans="4:9" ht="15">
      <c r="D454" s="2" t="s">
        <v>1099</v>
      </c>
      <c r="E454" s="24" t="s">
        <v>1100</v>
      </c>
      <c r="F454" s="24"/>
      <c r="G454" s="24"/>
      <c r="H454" s="24"/>
      <c r="I454" s="24"/>
    </row>
    <row r="456" spans="3:4" ht="15">
      <c r="C456" s="1" t="s">
        <v>1064</v>
      </c>
      <c r="D456" s="1" t="s">
        <v>1065</v>
      </c>
    </row>
    <row r="457" spans="4:12" ht="15.75">
      <c r="D457" s="7" t="s">
        <v>1066</v>
      </c>
      <c r="E457" s="7" t="s">
        <v>1067</v>
      </c>
      <c r="F457" s="7" t="s">
        <v>1010</v>
      </c>
      <c r="G457" s="7" t="s">
        <v>1068</v>
      </c>
      <c r="H457" s="7" t="s">
        <v>1069</v>
      </c>
      <c r="I457" s="7" t="s">
        <v>1070</v>
      </c>
      <c r="J457" s="7" t="s">
        <v>1071</v>
      </c>
      <c r="K457" s="7" t="s">
        <v>1036</v>
      </c>
      <c r="L457" s="1" t="s">
        <v>695</v>
      </c>
    </row>
    <row r="458" spans="4:12" ht="15">
      <c r="D458" s="4">
        <v>0.07</v>
      </c>
      <c r="E458" s="4">
        <v>14.492424489795917</v>
      </c>
      <c r="F458" s="4">
        <v>424.3052854375869</v>
      </c>
      <c r="G458" s="4">
        <v>0.07805457263527406</v>
      </c>
      <c r="H458" s="4">
        <v>0.7062914398627405</v>
      </c>
      <c r="I458" s="4">
        <v>0.1828017452608597</v>
      </c>
      <c r="J458" s="4">
        <v>0.03285224224112583</v>
      </c>
      <c r="K458" s="4">
        <v>10</v>
      </c>
      <c r="L458" s="4">
        <v>0.02</v>
      </c>
    </row>
    <row r="459" spans="4:12" ht="15.75">
      <c r="D459" s="7" t="s">
        <v>1072</v>
      </c>
      <c r="E459" s="7" t="s">
        <v>699</v>
      </c>
      <c r="F459" s="7" t="s">
        <v>1011</v>
      </c>
      <c r="G459" s="7" t="s">
        <v>645</v>
      </c>
      <c r="H459" s="7" t="s">
        <v>644</v>
      </c>
      <c r="I459" s="7" t="s">
        <v>102</v>
      </c>
      <c r="J459" s="7" t="s">
        <v>646</v>
      </c>
      <c r="K459" s="3" t="s">
        <v>706</v>
      </c>
      <c r="L459" s="7" t="s">
        <v>1012</v>
      </c>
    </row>
    <row r="460" spans="4:12" ht="15.75">
      <c r="D460" s="35">
        <f>D458*9.51/(1-L458)</f>
        <v>0.6792857142857144</v>
      </c>
      <c r="E460" s="35">
        <f>E458+D460</f>
        <v>15.171710204081633</v>
      </c>
      <c r="F460" s="35">
        <f>(F458*E458+K458*D460)/E460</f>
        <v>405.7555202519123</v>
      </c>
      <c r="G460" s="35">
        <f>G458*E458/E460</f>
        <v>0.07455982119245029</v>
      </c>
      <c r="H460" s="35">
        <f>(H458*E458+0.79*D460)/E460</f>
        <v>0.7100393383066066</v>
      </c>
      <c r="I460" s="35">
        <f>(I458*E458+L458*D460)/E460</f>
        <v>0.17551259339011457</v>
      </c>
      <c r="J460" s="35">
        <f>(J458*E458+0.21*D460)/E460</f>
        <v>0.04078371071400611</v>
      </c>
      <c r="K460" s="35">
        <f>1+J460*1.01/(G460*0.21*9.51)</f>
        <v>1.2766326530612244</v>
      </c>
      <c r="L460" s="35">
        <f>-17.5+3.51*F460+38.864*K460^-0.5-0.30038*F460*K460^-0.5+0.0044766*F460^2-23.072/K460-0.000058066*F460^2/K460-0.010324*F460^1.9+IF(F460&lt;200,1.6-1.87*F460^0.3+0.2012*K460-21.75*L458+0.302*F460^0.6,-0.19-0.0006295*F460+0.7193*K460^-0.4+41.38*L458-0.4254*F460*K460^-0.4*L458)</f>
        <v>1110.29844576056</v>
      </c>
    </row>
    <row r="461" spans="9:12" ht="15">
      <c r="I461" s="24" t="s">
        <v>835</v>
      </c>
      <c r="J461" s="24">
        <v>16000</v>
      </c>
      <c r="K461" s="24" t="s">
        <v>1048</v>
      </c>
      <c r="L461" s="24">
        <v>1</v>
      </c>
    </row>
    <row r="462" ht="15">
      <c r="F462" s="1" t="s">
        <v>1101</v>
      </c>
    </row>
    <row r="463" spans="3:12" ht="15.75">
      <c r="C463" s="4">
        <v>1</v>
      </c>
      <c r="E463" s="1" t="s">
        <v>1102</v>
      </c>
      <c r="J463" s="1" t="s">
        <v>1103</v>
      </c>
      <c r="K463" s="12" t="s">
        <v>984</v>
      </c>
      <c r="L463" s="12" t="s">
        <v>985</v>
      </c>
    </row>
    <row r="464" spans="4:12" ht="15.75">
      <c r="D464" s="1" t="s">
        <v>987</v>
      </c>
      <c r="K464" s="39">
        <f>G542</f>
        <v>152914.56538212864</v>
      </c>
      <c r="L464" s="17">
        <v>0.1171</v>
      </c>
    </row>
    <row r="465" spans="4:12" ht="15">
      <c r="D465" s="3" t="s">
        <v>815</v>
      </c>
      <c r="E465" s="3" t="s">
        <v>988</v>
      </c>
      <c r="F465" s="3" t="s">
        <v>817</v>
      </c>
      <c r="G465" s="3" t="s">
        <v>102</v>
      </c>
      <c r="H465" s="3" t="s">
        <v>647</v>
      </c>
      <c r="I465" s="3" t="s">
        <v>989</v>
      </c>
      <c r="J465" s="3" t="s">
        <v>990</v>
      </c>
      <c r="K465" s="3" t="s">
        <v>991</v>
      </c>
      <c r="L465" s="3" t="s">
        <v>992</v>
      </c>
    </row>
    <row r="466" spans="4:12" ht="15.75">
      <c r="D466" s="4">
        <v>0.301</v>
      </c>
      <c r="E466" s="4">
        <v>30.4</v>
      </c>
      <c r="F466" s="35">
        <f>L461</f>
        <v>1</v>
      </c>
      <c r="G466" s="35">
        <f>I460</f>
        <v>0.17551259339011457</v>
      </c>
      <c r="H466" s="35">
        <f>G460+I460</f>
        <v>0.25007241458256485</v>
      </c>
      <c r="I466" s="4">
        <v>13.54</v>
      </c>
      <c r="J466" s="4">
        <v>0.64</v>
      </c>
      <c r="K466" s="35">
        <f>L468+(K468+1/J468)*L470*D468/D470</f>
        <v>883.1228095557709</v>
      </c>
      <c r="L466" s="35">
        <f>L460+273</f>
        <v>1383.29844576056</v>
      </c>
    </row>
    <row r="467" spans="4:12" ht="15">
      <c r="D467" s="3" t="s">
        <v>835</v>
      </c>
      <c r="E467" s="3" t="s">
        <v>699</v>
      </c>
      <c r="F467" s="3" t="s">
        <v>544</v>
      </c>
      <c r="G467" s="3" t="s">
        <v>209</v>
      </c>
      <c r="H467" s="3" t="s">
        <v>206</v>
      </c>
      <c r="I467" s="3" t="s">
        <v>993</v>
      </c>
      <c r="J467" s="3" t="s">
        <v>994</v>
      </c>
      <c r="K467" s="3" t="s">
        <v>995</v>
      </c>
      <c r="L467" s="3" t="s">
        <v>996</v>
      </c>
    </row>
    <row r="468" spans="4:12" ht="15.75">
      <c r="D468" s="35">
        <f>J461</f>
        <v>16000</v>
      </c>
      <c r="E468" s="35">
        <f>E460</f>
        <v>15.171710204081633</v>
      </c>
      <c r="F468" s="35">
        <f>L466-273</f>
        <v>1110.29844576056</v>
      </c>
      <c r="G468" s="35">
        <f>D468*E468/(3600*E466)*(F468+273)/273</f>
        <v>11.239103712719698</v>
      </c>
      <c r="H468" s="35">
        <f>1.1077-0.002944*F468^0.7+0.67936*G466+0.0050854*F468^0.7*G466+0.0000089737*F468^1.4-2.4659*G466^2-0.000046377*F468^1.4*G466^2+23.168*F468^-0.1*G466^4</f>
        <v>1.0224372487840918</v>
      </c>
      <c r="I468" s="35">
        <f>I466*H468*G468^J466</f>
        <v>65.12138099696679</v>
      </c>
      <c r="J468" s="35">
        <f>L464*K464^0.8</f>
        <v>1644.8109131775936</v>
      </c>
      <c r="K468" s="4">
        <v>0.005</v>
      </c>
      <c r="L468" s="35">
        <f>332.63771714387+273</f>
        <v>605.6377171438701</v>
      </c>
    </row>
    <row r="469" spans="4:12" ht="15">
      <c r="D469" s="3" t="s">
        <v>997</v>
      </c>
      <c r="E469" s="3" t="s">
        <v>820</v>
      </c>
      <c r="F469" s="3" t="s">
        <v>998</v>
      </c>
      <c r="G469" s="3" t="s">
        <v>999</v>
      </c>
      <c r="H469" s="3" t="s">
        <v>1000</v>
      </c>
      <c r="I469" s="3" t="s">
        <v>1001</v>
      </c>
      <c r="J469" s="3" t="s">
        <v>1002</v>
      </c>
      <c r="K469" s="3" t="s">
        <v>1003</v>
      </c>
      <c r="L469" s="3" t="s">
        <v>1004</v>
      </c>
    </row>
    <row r="470" spans="4:12" ht="15.75">
      <c r="D470" s="35">
        <f>1600/10</f>
        <v>160</v>
      </c>
      <c r="E470" s="35">
        <f>((0.78+1.6*G466)/(F466*H466*D466)^0.5-0.1)*(1-0.37*L466/1000)</f>
        <v>1.8387614192872639</v>
      </c>
      <c r="F470" s="35">
        <f>E470*H466</f>
        <v>0.45982350796243</v>
      </c>
      <c r="G470" s="35">
        <f>1-EXP(-F470*F466*D466)</f>
        <v>0.12925566522096954</v>
      </c>
      <c r="H470" s="35">
        <f>0.000000049*(0.82+1)/2*G470*L466^3*(1-(K466/L466)^3.6)/(1-K466/L466)</f>
        <v>33.804798778520656</v>
      </c>
      <c r="I470" s="35">
        <f>I468+H470</f>
        <v>98.92617977548744</v>
      </c>
      <c r="J470" s="35">
        <f>1/(1/I470+K468+1/J468)</f>
        <v>63.62731598203508</v>
      </c>
      <c r="K470" s="35">
        <f>L466-L468</f>
        <v>777.66072861669</v>
      </c>
      <c r="L470" s="35">
        <f>J470*D470*K470/D468</f>
        <v>494.8046490651376</v>
      </c>
    </row>
    <row r="471" spans="4:12" ht="15.75">
      <c r="D471" s="1" t="s">
        <v>1104</v>
      </c>
      <c r="L471" s="18"/>
    </row>
    <row r="472" spans="4:10" ht="15">
      <c r="D472" s="3" t="s">
        <v>1006</v>
      </c>
      <c r="E472" s="3" t="s">
        <v>109</v>
      </c>
      <c r="F472" s="3" t="s">
        <v>840</v>
      </c>
      <c r="G472" s="3" t="s">
        <v>1007</v>
      </c>
      <c r="H472" s="3" t="s">
        <v>1008</v>
      </c>
      <c r="I472" s="3" t="s">
        <v>544</v>
      </c>
      <c r="J472" s="3" t="s">
        <v>996</v>
      </c>
    </row>
    <row r="473" spans="4:10" ht="15.75">
      <c r="D473" s="4">
        <v>684.0812730222092</v>
      </c>
      <c r="E473" s="4">
        <v>100</v>
      </c>
      <c r="F473" s="4">
        <v>0.994</v>
      </c>
      <c r="G473" s="35">
        <f>L470*F473</f>
        <v>491.8358211707468</v>
      </c>
      <c r="H473" s="35">
        <f>D473+G473*D468/K464</f>
        <v>735.5438208773899</v>
      </c>
      <c r="I473" s="35">
        <f>3074.3-3.1077*E473-2.3864*10^7*H473^-1.3+22437.3*E473*H473^-1.3+0.0041697*E473^2+4.8476*10^10*H473^-2.6-177649*E473^2*H473^-2.6</f>
        <v>392.4842146004291</v>
      </c>
      <c r="J473" s="35">
        <f>I473+273</f>
        <v>665.4842146004291</v>
      </c>
    </row>
    <row r="474" ht="15">
      <c r="D474" s="1" t="s">
        <v>1009</v>
      </c>
    </row>
    <row r="475" spans="4:10" ht="15.75">
      <c r="D475" s="3" t="s">
        <v>1010</v>
      </c>
      <c r="E475" s="3" t="s">
        <v>706</v>
      </c>
      <c r="F475" s="3" t="s">
        <v>699</v>
      </c>
      <c r="G475" s="7" t="s">
        <v>645</v>
      </c>
      <c r="H475" s="1" t="s">
        <v>695</v>
      </c>
      <c r="I475" s="3" t="s">
        <v>1011</v>
      </c>
      <c r="J475" s="3" t="s">
        <v>1012</v>
      </c>
    </row>
    <row r="476" spans="4:10" ht="15.75">
      <c r="D476" s="35">
        <f>F460</f>
        <v>405.7555202519123</v>
      </c>
      <c r="E476" s="35">
        <f>K460</f>
        <v>1.2766326530612244</v>
      </c>
      <c r="F476" s="35">
        <f>E468</f>
        <v>15.171710204081633</v>
      </c>
      <c r="G476" s="35">
        <f>G460</f>
        <v>0.07455982119245029</v>
      </c>
      <c r="H476" s="35">
        <f>L458</f>
        <v>0.02</v>
      </c>
      <c r="I476" s="35">
        <f>D476-L470/F476</f>
        <v>373.14188326509316</v>
      </c>
      <c r="J476" s="35">
        <f>-17.5+3.51*I476+38.864*E476^-0.5-0.30038*I476*E476^-0.5+0.0044766*I476^2-23.072/E476-0.000058066*I476^2/E476-0.010324*I476^1.9+IF(I476&lt;200,1.6-1.87*I476^0.3+0.2012*E476-21.75*H476+0.302*I476^0.6,-0.19-0.0006295*I476+0.7193*E476^-0.4+41.38*H476-0.4254*I476*E476^-0.4*H476)</f>
        <v>1029.4177129292718</v>
      </c>
    </row>
    <row r="478" spans="3:12" ht="15.75">
      <c r="C478" s="4">
        <v>2</v>
      </c>
      <c r="E478" s="1" t="s">
        <v>1102</v>
      </c>
      <c r="K478" s="12" t="s">
        <v>984</v>
      </c>
      <c r="L478" s="12" t="s">
        <v>985</v>
      </c>
    </row>
    <row r="479" spans="4:12" ht="15.75">
      <c r="D479" s="1" t="s">
        <v>987</v>
      </c>
      <c r="K479" s="39">
        <f>K464</f>
        <v>152914.56538212864</v>
      </c>
      <c r="L479" s="17">
        <v>0.1171</v>
      </c>
    </row>
    <row r="480" spans="4:12" ht="15">
      <c r="D480" s="3" t="s">
        <v>815</v>
      </c>
      <c r="E480" s="3" t="s">
        <v>988</v>
      </c>
      <c r="F480" s="3" t="s">
        <v>817</v>
      </c>
      <c r="G480" s="3" t="s">
        <v>102</v>
      </c>
      <c r="H480" s="3" t="s">
        <v>647</v>
      </c>
      <c r="I480" s="3" t="s">
        <v>989</v>
      </c>
      <c r="J480" s="3" t="s">
        <v>990</v>
      </c>
      <c r="K480" s="3" t="s">
        <v>991</v>
      </c>
      <c r="L480" s="3" t="s">
        <v>992</v>
      </c>
    </row>
    <row r="481" spans="4:12" ht="15.75">
      <c r="D481" s="35">
        <f aca="true" t="shared" si="40" ref="D481:J481">D466</f>
        <v>0.301</v>
      </c>
      <c r="E481" s="35">
        <f t="shared" si="40"/>
        <v>30.4</v>
      </c>
      <c r="F481" s="35">
        <f t="shared" si="40"/>
        <v>1</v>
      </c>
      <c r="G481" s="35">
        <f t="shared" si="40"/>
        <v>0.17551259339011457</v>
      </c>
      <c r="H481" s="35">
        <f t="shared" si="40"/>
        <v>0.25007241458256485</v>
      </c>
      <c r="I481" s="35">
        <f t="shared" si="40"/>
        <v>13.54</v>
      </c>
      <c r="J481" s="35">
        <f t="shared" si="40"/>
        <v>0.64</v>
      </c>
      <c r="K481" s="35">
        <f>L483+(K483+1/J483)*L485*D483/D485</f>
        <v>885.7358616535985</v>
      </c>
      <c r="L481" s="35">
        <f>J476+273</f>
        <v>1302.4177129292718</v>
      </c>
    </row>
    <row r="482" spans="4:12" ht="15">
      <c r="D482" s="3" t="s">
        <v>835</v>
      </c>
      <c r="E482" s="3" t="s">
        <v>699</v>
      </c>
      <c r="F482" s="3" t="s">
        <v>544</v>
      </c>
      <c r="G482" s="3" t="s">
        <v>209</v>
      </c>
      <c r="H482" s="3" t="s">
        <v>206</v>
      </c>
      <c r="I482" s="3" t="s">
        <v>993</v>
      </c>
      <c r="J482" s="3" t="s">
        <v>994</v>
      </c>
      <c r="K482" s="3" t="s">
        <v>995</v>
      </c>
      <c r="L482" s="3" t="s">
        <v>996</v>
      </c>
    </row>
    <row r="483" spans="4:12" ht="15.75">
      <c r="D483" s="35">
        <f>D468</f>
        <v>16000</v>
      </c>
      <c r="E483" s="35">
        <f>E468</f>
        <v>15.171710204081633</v>
      </c>
      <c r="F483" s="35">
        <f>L481-273</f>
        <v>1029.4177129292718</v>
      </c>
      <c r="G483" s="35">
        <f>D483*E483/(3600*E481)*(F483+273)/273</f>
        <v>10.58195922778404</v>
      </c>
      <c r="H483" s="35">
        <f>1.1077-0.002944*F483^0.7+0.67936*G481+0.0050854*F483^0.7*G481+0.0000089737*F483^1.4-2.4659*G481^2-0.000046377*F483^1.4*G481^2+23.168*F483^-0.1*G481^4</f>
        <v>1.0229395524147649</v>
      </c>
      <c r="I483" s="35">
        <f>I481*H483*G483^J481</f>
        <v>62.68894038690019</v>
      </c>
      <c r="J483" s="35">
        <f>L479*K479^0.8</f>
        <v>1644.8109131775936</v>
      </c>
      <c r="K483" s="35">
        <f>K468</f>
        <v>0.005</v>
      </c>
      <c r="L483" s="35">
        <f>J473</f>
        <v>665.4842146004291</v>
      </c>
    </row>
    <row r="484" spans="4:12" ht="15">
      <c r="D484" s="3" t="s">
        <v>997</v>
      </c>
      <c r="E484" s="3" t="s">
        <v>820</v>
      </c>
      <c r="F484" s="3" t="s">
        <v>998</v>
      </c>
      <c r="G484" s="3" t="s">
        <v>999</v>
      </c>
      <c r="H484" s="3" t="s">
        <v>1000</v>
      </c>
      <c r="I484" s="3" t="s">
        <v>1001</v>
      </c>
      <c r="J484" s="3" t="s">
        <v>1002</v>
      </c>
      <c r="K484" s="3" t="s">
        <v>1003</v>
      </c>
      <c r="L484" s="3" t="s">
        <v>1004</v>
      </c>
    </row>
    <row r="485" spans="4:12" ht="15.75">
      <c r="D485" s="35">
        <f>D470</f>
        <v>160</v>
      </c>
      <c r="E485" s="35">
        <f>((0.78+1.6*G481)/(F481*H481*D481)^0.5-0.1)*(1-0.37*L481/1000)</f>
        <v>1.951479238948183</v>
      </c>
      <c r="F485" s="35">
        <f>E485*H481</f>
        <v>0.48801112529151813</v>
      </c>
      <c r="G485" s="35">
        <f>1-EXP(-F485*F481*D481)</f>
        <v>0.13661221948593516</v>
      </c>
      <c r="H485" s="35">
        <f>0.000000049*(0.82+1)/2*G485*L481^3*(1-(K481/L481)^3.6)/(1-K481/L481)</f>
        <v>31.566992285567505</v>
      </c>
      <c r="I485" s="35">
        <f>I483+H485</f>
        <v>94.2559326724677</v>
      </c>
      <c r="J485" s="35">
        <f>1/(1/I485+K483+1/J483)</f>
        <v>61.66222474202776</v>
      </c>
      <c r="K485" s="35">
        <f>L481-L483</f>
        <v>636.9334983288427</v>
      </c>
      <c r="L485" s="35">
        <f>J485*D485*K485/D483</f>
        <v>392.7473651967906</v>
      </c>
    </row>
    <row r="486" spans="4:12" ht="15.75">
      <c r="D486" s="1" t="s">
        <v>1104</v>
      </c>
      <c r="L486" s="18"/>
    </row>
    <row r="487" spans="4:10" ht="15">
      <c r="D487" s="3" t="s">
        <v>1006</v>
      </c>
      <c r="E487" s="3" t="s">
        <v>109</v>
      </c>
      <c r="F487" s="3" t="s">
        <v>840</v>
      </c>
      <c r="G487" s="3" t="s">
        <v>1007</v>
      </c>
      <c r="H487" s="3" t="s">
        <v>1008</v>
      </c>
      <c r="I487" s="3" t="s">
        <v>544</v>
      </c>
      <c r="J487" s="3" t="s">
        <v>996</v>
      </c>
    </row>
    <row r="488" spans="4:10" ht="15.75">
      <c r="D488" s="35">
        <f>H473</f>
        <v>735.5438208773899</v>
      </c>
      <c r="E488" s="35">
        <f>E473</f>
        <v>100</v>
      </c>
      <c r="F488" s="35">
        <f>F473</f>
        <v>0.994</v>
      </c>
      <c r="G488" s="35">
        <f>L485*F488</f>
        <v>390.39088100560986</v>
      </c>
      <c r="H488" s="35">
        <f>D488+G488*D483/K479</f>
        <v>776.3918204154363</v>
      </c>
      <c r="I488" s="35">
        <f>3074.3-3.1077*E488-2.3864*10^7*H488^-1.3+22437.3*E488*H488^-1.3+0.0041697*E488^2+4.8476*10^10*H488^-2.6-177649*E488^2*H488^-2.6</f>
        <v>452.1569382271233</v>
      </c>
      <c r="J488" s="35">
        <f>I488+273</f>
        <v>725.1569382271233</v>
      </c>
    </row>
    <row r="489" ht="15">
      <c r="D489" s="1" t="s">
        <v>1009</v>
      </c>
    </row>
    <row r="490" spans="4:10" ht="15.75">
      <c r="D490" s="3" t="s">
        <v>1010</v>
      </c>
      <c r="E490" s="3" t="s">
        <v>706</v>
      </c>
      <c r="F490" s="3" t="s">
        <v>699</v>
      </c>
      <c r="G490" s="7" t="s">
        <v>645</v>
      </c>
      <c r="H490" s="1" t="s">
        <v>695</v>
      </c>
      <c r="I490" s="3" t="s">
        <v>1011</v>
      </c>
      <c r="J490" s="3" t="s">
        <v>1012</v>
      </c>
    </row>
    <row r="491" spans="4:10" ht="15.75">
      <c r="D491" s="35">
        <f>I476</f>
        <v>373.14188326509316</v>
      </c>
      <c r="E491" s="35">
        <f>E476</f>
        <v>1.2766326530612244</v>
      </c>
      <c r="F491" s="35">
        <f>E483</f>
        <v>15.171710204081633</v>
      </c>
      <c r="G491" s="35">
        <f>G476</f>
        <v>0.07455982119245029</v>
      </c>
      <c r="H491" s="35">
        <f>H476</f>
        <v>0.02</v>
      </c>
      <c r="I491" s="35">
        <f>D491-L485/F491</f>
        <v>347.2550610206813</v>
      </c>
      <c r="J491" s="35">
        <f>-17.5+3.51*I491+38.864*E491^-0.5-0.30038*I491*E491^-0.5+0.0044766*I491^2-23.072/E491-0.000058066*I491^2/E491-0.010324*I491^1.9+IF(I491&lt;200,1.6-1.87*I491^0.3+0.2012*E491-21.75*H491+0.302*I491^0.6,-0.19-0.0006295*I491+0.7193*E491^-0.4+41.38*H491-0.4254*I491*E491^-0.4*H491)</f>
        <v>964.5399654451511</v>
      </c>
    </row>
    <row r="493" spans="3:12" ht="15.75">
      <c r="C493" s="4">
        <v>3</v>
      </c>
      <c r="E493" s="1" t="s">
        <v>1102</v>
      </c>
      <c r="K493" s="12" t="s">
        <v>984</v>
      </c>
      <c r="L493" s="12" t="s">
        <v>985</v>
      </c>
    </row>
    <row r="494" spans="4:12" ht="15.75">
      <c r="D494" s="1" t="s">
        <v>987</v>
      </c>
      <c r="K494" s="39">
        <f>K479</f>
        <v>152914.56538212864</v>
      </c>
      <c r="L494" s="17">
        <v>0.1171</v>
      </c>
    </row>
    <row r="495" spans="4:12" ht="15">
      <c r="D495" s="3" t="s">
        <v>815</v>
      </c>
      <c r="E495" s="3" t="s">
        <v>988</v>
      </c>
      <c r="F495" s="3" t="s">
        <v>817</v>
      </c>
      <c r="G495" s="3" t="s">
        <v>102</v>
      </c>
      <c r="H495" s="3" t="s">
        <v>647</v>
      </c>
      <c r="I495" s="3" t="s">
        <v>989</v>
      </c>
      <c r="J495" s="3" t="s">
        <v>990</v>
      </c>
      <c r="K495" s="3" t="s">
        <v>991</v>
      </c>
      <c r="L495" s="3" t="s">
        <v>992</v>
      </c>
    </row>
    <row r="496" spans="4:12" ht="15.75">
      <c r="D496" s="35">
        <f aca="true" t="shared" si="41" ref="D496:J496">D481</f>
        <v>0.301</v>
      </c>
      <c r="E496" s="35">
        <f t="shared" si="41"/>
        <v>30.4</v>
      </c>
      <c r="F496" s="35">
        <f t="shared" si="41"/>
        <v>1</v>
      </c>
      <c r="G496" s="35">
        <f t="shared" si="41"/>
        <v>0.17551259339011457</v>
      </c>
      <c r="H496" s="35">
        <f t="shared" si="41"/>
        <v>0.25007241458256485</v>
      </c>
      <c r="I496" s="35">
        <f t="shared" si="41"/>
        <v>13.54</v>
      </c>
      <c r="J496" s="35">
        <f t="shared" si="41"/>
        <v>0.64</v>
      </c>
      <c r="K496" s="35">
        <f>L498+(K498+1/J498)*L500*D498/D500</f>
        <v>898.0107288178872</v>
      </c>
      <c r="L496" s="35">
        <f>J491+273</f>
        <v>1237.5399654451512</v>
      </c>
    </row>
    <row r="497" spans="4:12" ht="15">
      <c r="D497" s="3" t="s">
        <v>835</v>
      </c>
      <c r="E497" s="3" t="s">
        <v>699</v>
      </c>
      <c r="F497" s="3" t="s">
        <v>544</v>
      </c>
      <c r="G497" s="3" t="s">
        <v>209</v>
      </c>
      <c r="H497" s="3" t="s">
        <v>206</v>
      </c>
      <c r="I497" s="3" t="s">
        <v>993</v>
      </c>
      <c r="J497" s="3" t="s">
        <v>994</v>
      </c>
      <c r="K497" s="3" t="s">
        <v>995</v>
      </c>
      <c r="L497" s="3" t="s">
        <v>996</v>
      </c>
    </row>
    <row r="498" spans="4:12" ht="15.75">
      <c r="D498" s="35">
        <f>D483</f>
        <v>16000</v>
      </c>
      <c r="E498" s="35">
        <f>E483</f>
        <v>15.171710204081633</v>
      </c>
      <c r="F498" s="35">
        <f>L496-273</f>
        <v>964.5399654451512</v>
      </c>
      <c r="G498" s="35">
        <f>D498*E498/(3600*E496)*(F498+273)/273</f>
        <v>10.054836729485588</v>
      </c>
      <c r="H498" s="35">
        <f>1.1077-0.002944*F498^0.7+0.67936*G496+0.0050854*F498^0.7*G496+0.0000089737*F498^1.4-2.4659*G496^2-0.000046377*F498^1.4*G496^2+23.168*F498^-0.1*G496^4</f>
        <v>1.0239037490734344</v>
      </c>
      <c r="I498" s="35">
        <f>I496*H498*G498^J496</f>
        <v>60.729235253301574</v>
      </c>
      <c r="J498" s="35">
        <f>L494*K494^0.8</f>
        <v>1644.8109131775936</v>
      </c>
      <c r="K498" s="35">
        <f>K483</f>
        <v>0.005</v>
      </c>
      <c r="L498" s="35">
        <f>J488</f>
        <v>725.1569382271233</v>
      </c>
    </row>
    <row r="499" spans="4:12" ht="15">
      <c r="D499" s="3" t="s">
        <v>997</v>
      </c>
      <c r="E499" s="3" t="s">
        <v>820</v>
      </c>
      <c r="F499" s="3" t="s">
        <v>998</v>
      </c>
      <c r="G499" s="3" t="s">
        <v>999</v>
      </c>
      <c r="H499" s="3" t="s">
        <v>1000</v>
      </c>
      <c r="I499" s="3" t="s">
        <v>1001</v>
      </c>
      <c r="J499" s="3" t="s">
        <v>1002</v>
      </c>
      <c r="K499" s="3" t="s">
        <v>1003</v>
      </c>
      <c r="L499" s="3" t="s">
        <v>1004</v>
      </c>
    </row>
    <row r="500" spans="4:12" ht="15.75">
      <c r="D500" s="35">
        <f>D485</f>
        <v>160</v>
      </c>
      <c r="E500" s="35">
        <f>((0.78+1.6*G496)/(F496*H496*D496)^0.5-0.1)*(1-0.37*L496/1000)</f>
        <v>2.041894817355168</v>
      </c>
      <c r="F500" s="35">
        <f>E500*H496</f>
        <v>0.5106215672996322</v>
      </c>
      <c r="G500" s="35">
        <f>1-EXP(-F500*F496*D496)</f>
        <v>0.142468264894263</v>
      </c>
      <c r="H500" s="35">
        <f>0.000000049*(0.82+1)/2*G500*L496^3*(1-(K496/L496)^3.6)/(1-K496/L496)</f>
        <v>30.05194949091875</v>
      </c>
      <c r="I500" s="35">
        <f>I498+H500</f>
        <v>90.78118474422033</v>
      </c>
      <c r="J500" s="35">
        <f>1/(1/I500+K498+1/J498)</f>
        <v>60.15590821514096</v>
      </c>
      <c r="K500" s="35">
        <f>L496-L498</f>
        <v>512.3830272180279</v>
      </c>
      <c r="L500" s="35">
        <f>J500*D500*K500/D498</f>
        <v>308.2286635632376</v>
      </c>
    </row>
    <row r="501" spans="4:12" ht="15.75">
      <c r="D501" s="1" t="s">
        <v>1104</v>
      </c>
      <c r="L501" s="18"/>
    </row>
    <row r="502" spans="4:10" ht="15">
      <c r="D502" s="3" t="s">
        <v>1006</v>
      </c>
      <c r="E502" s="3" t="s">
        <v>109</v>
      </c>
      <c r="F502" s="3" t="s">
        <v>840</v>
      </c>
      <c r="G502" s="3" t="s">
        <v>1007</v>
      </c>
      <c r="H502" s="3" t="s">
        <v>1008</v>
      </c>
      <c r="I502" s="3" t="s">
        <v>544</v>
      </c>
      <c r="J502" s="3" t="s">
        <v>996</v>
      </c>
    </row>
    <row r="503" spans="4:10" ht="15.75">
      <c r="D503" s="35">
        <f>H488</f>
        <v>776.3918204154363</v>
      </c>
      <c r="E503" s="35">
        <f>E488</f>
        <v>100</v>
      </c>
      <c r="F503" s="35">
        <f>F488</f>
        <v>0.994</v>
      </c>
      <c r="G503" s="35">
        <f>L500*F503</f>
        <v>306.3792915818582</v>
      </c>
      <c r="H503" s="35">
        <f>D503+G503*D498/K494</f>
        <v>808.4493857170779</v>
      </c>
      <c r="I503" s="35">
        <f>3074.3-3.1077*E503-2.3864*10^7*H503^-1.3+22437.3*E503*H503^-1.3+0.0041697*E503^2+4.8476*10^10*H503^-2.6-177649*E503^2*H503^-2.6</f>
        <v>503.2466130123151</v>
      </c>
      <c r="J503" s="35">
        <f>I503+273</f>
        <v>776.246613012315</v>
      </c>
    </row>
    <row r="504" ht="15">
      <c r="D504" s="1" t="s">
        <v>1009</v>
      </c>
    </row>
    <row r="505" spans="4:10" ht="15.75">
      <c r="D505" s="3" t="s">
        <v>1010</v>
      </c>
      <c r="E505" s="3" t="s">
        <v>706</v>
      </c>
      <c r="F505" s="3" t="s">
        <v>699</v>
      </c>
      <c r="G505" s="7" t="s">
        <v>645</v>
      </c>
      <c r="H505" s="1" t="s">
        <v>695</v>
      </c>
      <c r="I505" s="3" t="s">
        <v>1011</v>
      </c>
      <c r="J505" s="3" t="s">
        <v>1012</v>
      </c>
    </row>
    <row r="506" spans="4:10" ht="15.75">
      <c r="D506" s="35">
        <f>I491</f>
        <v>347.2550610206813</v>
      </c>
      <c r="E506" s="35">
        <f>E491</f>
        <v>1.2766326530612244</v>
      </c>
      <c r="F506" s="35">
        <f>E498</f>
        <v>15.171710204081633</v>
      </c>
      <c r="G506" s="35">
        <f>G491</f>
        <v>0.07455982119245029</v>
      </c>
      <c r="H506" s="35">
        <f>H491</f>
        <v>0.02</v>
      </c>
      <c r="I506" s="35">
        <f>D506-L500/F506</f>
        <v>326.9390479003994</v>
      </c>
      <c r="J506" s="35">
        <f>-17.5+3.51*I506+38.864*E506^-0.5-0.30038*I506*E506^-0.5+0.0044766*I506^2-23.072/E506-0.000058066*I506^2/E506-0.010324*I506^1.9+IF(I506&lt;200,1.6-1.87*I506^0.3+0.2012*E506-21.75*H506+0.302*I506^0.6,-0.19-0.0006295*I506+0.7193*E506^-0.4+41.38*H506-0.4254*I506*E506^-0.4*H506)</f>
        <v>913.1694971284132</v>
      </c>
    </row>
    <row r="508" spans="3:12" ht="15.75">
      <c r="C508" s="4">
        <v>4</v>
      </c>
      <c r="E508" s="1" t="s">
        <v>1102</v>
      </c>
      <c r="K508" s="12" t="s">
        <v>984</v>
      </c>
      <c r="L508" s="12" t="s">
        <v>985</v>
      </c>
    </row>
    <row r="509" spans="4:12" ht="15.75">
      <c r="D509" s="1" t="s">
        <v>987</v>
      </c>
      <c r="K509" s="39">
        <f>K494</f>
        <v>152914.56538212864</v>
      </c>
      <c r="L509" s="17">
        <v>0.1171</v>
      </c>
    </row>
    <row r="510" spans="4:12" ht="15">
      <c r="D510" s="3" t="s">
        <v>815</v>
      </c>
      <c r="E510" s="3" t="s">
        <v>988</v>
      </c>
      <c r="F510" s="3" t="s">
        <v>817</v>
      </c>
      <c r="G510" s="3" t="s">
        <v>102</v>
      </c>
      <c r="H510" s="3" t="s">
        <v>647</v>
      </c>
      <c r="I510" s="3" t="s">
        <v>989</v>
      </c>
      <c r="J510" s="3" t="s">
        <v>990</v>
      </c>
      <c r="K510" s="3" t="s">
        <v>991</v>
      </c>
      <c r="L510" s="3" t="s">
        <v>992</v>
      </c>
    </row>
    <row r="511" spans="4:12" ht="15.75">
      <c r="D511" s="35">
        <f aca="true" t="shared" si="42" ref="D511:J511">D496</f>
        <v>0.301</v>
      </c>
      <c r="E511" s="35">
        <f t="shared" si="42"/>
        <v>30.4</v>
      </c>
      <c r="F511" s="35">
        <f t="shared" si="42"/>
        <v>1</v>
      </c>
      <c r="G511" s="35">
        <f t="shared" si="42"/>
        <v>0.17551259339011457</v>
      </c>
      <c r="H511" s="35">
        <f t="shared" si="42"/>
        <v>0.25007241458256485</v>
      </c>
      <c r="I511" s="35">
        <f t="shared" si="42"/>
        <v>13.54</v>
      </c>
      <c r="J511" s="35">
        <f t="shared" si="42"/>
        <v>0.64</v>
      </c>
      <c r="K511" s="35">
        <f>L513+(K513+1/J513)*L515*D513/D515</f>
        <v>911.8373805918678</v>
      </c>
      <c r="L511" s="35">
        <f>J506+273</f>
        <v>1186.1694971284132</v>
      </c>
    </row>
    <row r="512" spans="4:12" ht="15">
      <c r="D512" s="3" t="s">
        <v>835</v>
      </c>
      <c r="E512" s="3" t="s">
        <v>699</v>
      </c>
      <c r="F512" s="3" t="s">
        <v>544</v>
      </c>
      <c r="G512" s="3" t="s">
        <v>209</v>
      </c>
      <c r="H512" s="3" t="s">
        <v>206</v>
      </c>
      <c r="I512" s="3" t="s">
        <v>993</v>
      </c>
      <c r="J512" s="3" t="s">
        <v>994</v>
      </c>
      <c r="K512" s="3" t="s">
        <v>995</v>
      </c>
      <c r="L512" s="3" t="s">
        <v>996</v>
      </c>
    </row>
    <row r="513" spans="4:12" ht="15.75">
      <c r="D513" s="35">
        <f>D498</f>
        <v>16000</v>
      </c>
      <c r="E513" s="35">
        <f>E498</f>
        <v>15.171710204081633</v>
      </c>
      <c r="F513" s="35">
        <f>L511-273</f>
        <v>913.1694971284132</v>
      </c>
      <c r="G513" s="35">
        <f>D513*E513/(3600*E511)*(F513+273)/273</f>
        <v>9.637458959018018</v>
      </c>
      <c r="H513" s="35">
        <f>1.1077-0.002944*F513^0.7+0.67936*G511+0.0050854*F513^0.7*G511+0.0000089737*F513^1.4-2.4659*G511^2-0.000046377*F513^1.4*G511^2+23.168*F513^-0.1*G511^4</f>
        <v>1.0250437422397514</v>
      </c>
      <c r="I513" s="35">
        <f>I511*H513*G513^J511</f>
        <v>59.16938968207247</v>
      </c>
      <c r="J513" s="35">
        <f>L509*K509^0.8</f>
        <v>1644.8109131775936</v>
      </c>
      <c r="K513" s="35">
        <f>K498</f>
        <v>0.005</v>
      </c>
      <c r="L513" s="35">
        <f>J503</f>
        <v>776.246613012315</v>
      </c>
    </row>
    <row r="514" spans="4:12" ht="15">
      <c r="D514" s="3" t="s">
        <v>997</v>
      </c>
      <c r="E514" s="3" t="s">
        <v>820</v>
      </c>
      <c r="F514" s="3" t="s">
        <v>998</v>
      </c>
      <c r="G514" s="3" t="s">
        <v>999</v>
      </c>
      <c r="H514" s="3" t="s">
        <v>1000</v>
      </c>
      <c r="I514" s="3" t="s">
        <v>1001</v>
      </c>
      <c r="J514" s="3" t="s">
        <v>1002</v>
      </c>
      <c r="K514" s="3" t="s">
        <v>1003</v>
      </c>
      <c r="L514" s="3" t="s">
        <v>1004</v>
      </c>
    </row>
    <row r="515" spans="4:12" ht="15.75">
      <c r="D515" s="35">
        <f>D500</f>
        <v>160</v>
      </c>
      <c r="E515" s="35">
        <f>((0.78+1.6*G511)/(F511*H511*D511)^0.5-0.1)*(1-0.37*L511/1000)</f>
        <v>2.1134862456339074</v>
      </c>
      <c r="F515" s="35">
        <f>E515*H511</f>
        <v>0.528524608632711</v>
      </c>
      <c r="G515" s="35">
        <f>1-EXP(-F515*F511*D511)</f>
        <v>0.14707691641086584</v>
      </c>
      <c r="H515" s="35">
        <f>0.000000049*(0.82+1)/2*G515*L511^3*(1-(K511/L511)^3.6)/(1-K511/L511)</f>
        <v>28.965442217598575</v>
      </c>
      <c r="I515" s="35">
        <f>I513+H515</f>
        <v>88.13483189967104</v>
      </c>
      <c r="J515" s="35">
        <f>1/(1/I515+K513+1/J513)</f>
        <v>58.982349882134535</v>
      </c>
      <c r="K515" s="35">
        <f>L511-L513</f>
        <v>409.9228841160982</v>
      </c>
      <c r="L515" s="35">
        <f>J515*D515*K515/D513</f>
        <v>241.7821497562939</v>
      </c>
    </row>
    <row r="516" spans="4:12" ht="15.75">
      <c r="D516" s="1" t="s">
        <v>1104</v>
      </c>
      <c r="L516" s="18"/>
    </row>
    <row r="517" spans="4:10" ht="15">
      <c r="D517" s="3" t="s">
        <v>1006</v>
      </c>
      <c r="E517" s="3" t="s">
        <v>109</v>
      </c>
      <c r="F517" s="3" t="s">
        <v>840</v>
      </c>
      <c r="G517" s="3" t="s">
        <v>1007</v>
      </c>
      <c r="H517" s="3" t="s">
        <v>1008</v>
      </c>
      <c r="I517" s="3" t="s">
        <v>544</v>
      </c>
      <c r="J517" s="3" t="s">
        <v>996</v>
      </c>
    </row>
    <row r="518" spans="4:10" ht="15.75">
      <c r="D518" s="35">
        <f>H503</f>
        <v>808.4493857170779</v>
      </c>
      <c r="E518" s="35">
        <f>E503</f>
        <v>100</v>
      </c>
      <c r="F518" s="35">
        <f>F503</f>
        <v>0.994</v>
      </c>
      <c r="G518" s="35">
        <f>L515*F518</f>
        <v>240.33145685775614</v>
      </c>
      <c r="H518" s="35">
        <f>D518+G518*D513/K509</f>
        <v>833.5961289335584</v>
      </c>
      <c r="I518" s="35">
        <f>3074.3-3.1077*E518-2.3864*10^7*H518^-1.3+22437.3*E518*H518^-1.3+0.0041697*E518^2+4.8476*10^10*H518^-2.6-177649*E518^2*H518^-2.6</f>
        <v>544.8487575004069</v>
      </c>
      <c r="J518" s="35">
        <f>I518+273</f>
        <v>817.8487575004069</v>
      </c>
    </row>
    <row r="519" ht="15">
      <c r="D519" s="1" t="s">
        <v>1009</v>
      </c>
    </row>
    <row r="520" spans="4:10" ht="15.75">
      <c r="D520" s="3" t="s">
        <v>1010</v>
      </c>
      <c r="E520" s="3" t="s">
        <v>706</v>
      </c>
      <c r="F520" s="3" t="s">
        <v>699</v>
      </c>
      <c r="G520" s="7" t="s">
        <v>645</v>
      </c>
      <c r="H520" s="1" t="s">
        <v>695</v>
      </c>
      <c r="I520" s="3" t="s">
        <v>1011</v>
      </c>
      <c r="J520" s="3" t="s">
        <v>1012</v>
      </c>
    </row>
    <row r="521" spans="4:10" ht="15.75">
      <c r="D521" s="35">
        <f>I506</f>
        <v>326.9390479003994</v>
      </c>
      <c r="E521" s="35">
        <f>E506</f>
        <v>1.2766326530612244</v>
      </c>
      <c r="F521" s="35">
        <f>E513</f>
        <v>15.171710204081633</v>
      </c>
      <c r="G521" s="35">
        <f>G506</f>
        <v>0.07455982119245029</v>
      </c>
      <c r="H521" s="35">
        <f>H506</f>
        <v>0.02</v>
      </c>
      <c r="I521" s="35">
        <f>D521-L515/F521</f>
        <v>311.00266719552354</v>
      </c>
      <c r="J521" s="35">
        <f>-17.5+3.51*I521+38.864*E521^-0.5-0.30038*I521*E521^-0.5+0.0044766*I521^2-23.072/E521-0.000058066*I521^2/E521-0.010324*I521^1.9+IF(I521&lt;200,1.6-1.87*I521^0.3+0.2012*E521-21.75*H521+0.302*I521^0.6,-0.19-0.0006295*I521+0.7193*E521^-0.4+41.38*H521-0.4254*I521*E521^-0.4*H521)</f>
        <v>872.5762200711686</v>
      </c>
    </row>
    <row r="523" spans="3:12" ht="15.75">
      <c r="C523" s="4">
        <v>5</v>
      </c>
      <c r="E523" s="1" t="s">
        <v>1102</v>
      </c>
      <c r="K523" s="12" t="s">
        <v>984</v>
      </c>
      <c r="L523" s="12" t="s">
        <v>985</v>
      </c>
    </row>
    <row r="524" spans="3:12" ht="15.75">
      <c r="C524" s="1" t="s">
        <v>986</v>
      </c>
      <c r="D524" s="1" t="s">
        <v>987</v>
      </c>
      <c r="K524" s="39">
        <f>K509</f>
        <v>152914.56538212864</v>
      </c>
      <c r="L524" s="17">
        <v>0.1171</v>
      </c>
    </row>
    <row r="525" spans="4:12" ht="15">
      <c r="D525" s="3" t="s">
        <v>815</v>
      </c>
      <c r="E525" s="3" t="s">
        <v>988</v>
      </c>
      <c r="F525" s="3" t="s">
        <v>817</v>
      </c>
      <c r="G525" s="3" t="s">
        <v>102</v>
      </c>
      <c r="H525" s="3" t="s">
        <v>647</v>
      </c>
      <c r="I525" s="3" t="s">
        <v>989</v>
      </c>
      <c r="J525" s="3" t="s">
        <v>990</v>
      </c>
      <c r="K525" s="3" t="s">
        <v>991</v>
      </c>
      <c r="L525" s="3" t="s">
        <v>992</v>
      </c>
    </row>
    <row r="526" spans="4:12" ht="15.75">
      <c r="D526" s="35">
        <f aca="true" t="shared" si="43" ref="D526:J526">D511</f>
        <v>0.301</v>
      </c>
      <c r="E526" s="35">
        <f t="shared" si="43"/>
        <v>30.4</v>
      </c>
      <c r="F526" s="35">
        <f t="shared" si="43"/>
        <v>1</v>
      </c>
      <c r="G526" s="35">
        <f t="shared" si="43"/>
        <v>0.17551259339011457</v>
      </c>
      <c r="H526" s="35">
        <f t="shared" si="43"/>
        <v>0.25007241458256485</v>
      </c>
      <c r="I526" s="35">
        <f t="shared" si="43"/>
        <v>13.54</v>
      </c>
      <c r="J526" s="35">
        <f t="shared" si="43"/>
        <v>0.64</v>
      </c>
      <c r="K526" s="35">
        <f>L528+(K528+1/J528)*L530*D528/D530</f>
        <v>924.5538703496023</v>
      </c>
      <c r="L526" s="35">
        <f>J521+273</f>
        <v>1145.5762200711686</v>
      </c>
    </row>
    <row r="527" spans="4:12" ht="15">
      <c r="D527" s="3" t="s">
        <v>835</v>
      </c>
      <c r="E527" s="3" t="s">
        <v>699</v>
      </c>
      <c r="F527" s="3" t="s">
        <v>544</v>
      </c>
      <c r="G527" s="3" t="s">
        <v>209</v>
      </c>
      <c r="H527" s="3" t="s">
        <v>206</v>
      </c>
      <c r="I527" s="3" t="s">
        <v>993</v>
      </c>
      <c r="J527" s="3" t="s">
        <v>994</v>
      </c>
      <c r="K527" s="3" t="s">
        <v>995</v>
      </c>
      <c r="L527" s="3" t="s">
        <v>996</v>
      </c>
    </row>
    <row r="528" spans="4:12" ht="15.75">
      <c r="D528" s="35">
        <f>D513</f>
        <v>16000</v>
      </c>
      <c r="E528" s="35">
        <f>E513</f>
        <v>15.171710204081633</v>
      </c>
      <c r="F528" s="35">
        <f>L526-273</f>
        <v>872.5762200711686</v>
      </c>
      <c r="G528" s="35">
        <f>D528*E528/(3600*E526)*(F528+273)/273</f>
        <v>9.307644339270727</v>
      </c>
      <c r="H528" s="35">
        <f>1.1077-0.002944*F528^0.7+0.67936*G526+0.0050854*F528^0.7*G526+0.0000089737*F528^1.4-2.4659*G526^2-0.000046377*F528^1.4*G526^2+23.168*F528^-0.1*G526^4</f>
        <v>1.0261924157049744</v>
      </c>
      <c r="I528" s="35">
        <f>I526*H528*G528^J526</f>
        <v>57.930186146060066</v>
      </c>
      <c r="J528" s="35">
        <f>L524*K524^0.8</f>
        <v>1644.8109131775936</v>
      </c>
      <c r="K528" s="35">
        <f>K513</f>
        <v>0.005</v>
      </c>
      <c r="L528" s="35">
        <f>J518</f>
        <v>817.8487575004069</v>
      </c>
    </row>
    <row r="529" spans="4:12" ht="15">
      <c r="D529" s="3" t="s">
        <v>997</v>
      </c>
      <c r="E529" s="3" t="s">
        <v>820</v>
      </c>
      <c r="F529" s="3" t="s">
        <v>998</v>
      </c>
      <c r="G529" s="3" t="s">
        <v>999</v>
      </c>
      <c r="H529" s="3" t="s">
        <v>1000</v>
      </c>
      <c r="I529" s="3" t="s">
        <v>1001</v>
      </c>
      <c r="J529" s="3" t="s">
        <v>1002</v>
      </c>
      <c r="K529" s="3" t="s">
        <v>1003</v>
      </c>
      <c r="L529" s="3" t="s">
        <v>1004</v>
      </c>
    </row>
    <row r="530" spans="4:12" ht="15.75">
      <c r="D530" s="35">
        <f>D515</f>
        <v>160</v>
      </c>
      <c r="E530" s="35">
        <f>((0.78+1.6*G526)/(F526*H526*D526)^0.5-0.1)*(1-0.37*L526/1000)</f>
        <v>2.1700582563293174</v>
      </c>
      <c r="F530" s="35">
        <f>E530*H526</f>
        <v>0.5426717079451029</v>
      </c>
      <c r="G530" s="35">
        <f>1-EXP(-F530*F526*D526)</f>
        <v>0.1507011770400648</v>
      </c>
      <c r="H530" s="35">
        <f>0.000000049*(0.82+1)/2*G530*L526^3*(1-(K526/L526)^3.6)/(1-K526/L526)</f>
        <v>28.157919870191105</v>
      </c>
      <c r="I530" s="35">
        <f>I528+H530</f>
        <v>86.08810601625117</v>
      </c>
      <c r="J530" s="35">
        <f>1/(1/I530+K528+1/J528)</f>
        <v>58.058593337086656</v>
      </c>
      <c r="K530" s="35">
        <f>L526-L528</f>
        <v>327.72746257076165</v>
      </c>
      <c r="L530" s="35">
        <f>J530*D530*K530/D528</f>
        <v>190.27395474791138</v>
      </c>
    </row>
    <row r="531" spans="4:12" ht="15.75">
      <c r="D531" s="1" t="s">
        <v>1104</v>
      </c>
      <c r="L531" s="18"/>
    </row>
    <row r="532" spans="4:10" ht="15">
      <c r="D532" s="3" t="s">
        <v>1006</v>
      </c>
      <c r="E532" s="3" t="s">
        <v>109</v>
      </c>
      <c r="F532" s="3" t="s">
        <v>840</v>
      </c>
      <c r="G532" s="3" t="s">
        <v>1007</v>
      </c>
      <c r="H532" s="3" t="s">
        <v>1008</v>
      </c>
      <c r="I532" s="3" t="s">
        <v>544</v>
      </c>
      <c r="J532" s="3" t="s">
        <v>996</v>
      </c>
    </row>
    <row r="533" spans="4:10" ht="15.75">
      <c r="D533" s="35">
        <f>H518</f>
        <v>833.5961289335584</v>
      </c>
      <c r="E533" s="35">
        <f>E518</f>
        <v>100</v>
      </c>
      <c r="F533" s="35">
        <f>F518</f>
        <v>0.994</v>
      </c>
      <c r="G533" s="35">
        <f>L530*F533</f>
        <v>189.1323110194239</v>
      </c>
      <c r="H533" s="35">
        <f>D533+G533*D528/K524</f>
        <v>853.3857216956907</v>
      </c>
      <c r="I533" s="35">
        <f>3074.3-3.1077*E533-2.3864*10^7*H533^-1.3+22437.3*E533*H533^-1.3+0.0041697*E533^2+4.8476*10^10*H533^-2.6-177649*E533^2*H533^-2.6</f>
        <v>578.1352235257598</v>
      </c>
      <c r="J533" s="35">
        <f>I533+273</f>
        <v>851.1352235257598</v>
      </c>
    </row>
    <row r="534" ht="15">
      <c r="D534" s="1" t="s">
        <v>1009</v>
      </c>
    </row>
    <row r="535" spans="4:10" ht="15.75">
      <c r="D535" s="3" t="s">
        <v>1010</v>
      </c>
      <c r="E535" s="3" t="s">
        <v>706</v>
      </c>
      <c r="F535" s="3" t="s">
        <v>699</v>
      </c>
      <c r="G535" s="7" t="s">
        <v>645</v>
      </c>
      <c r="H535" s="1" t="s">
        <v>695</v>
      </c>
      <c r="I535" s="3" t="s">
        <v>1011</v>
      </c>
      <c r="J535" s="3" t="s">
        <v>1012</v>
      </c>
    </row>
    <row r="536" spans="4:10" ht="15.75">
      <c r="D536" s="35">
        <f>I521</f>
        <v>311.00266719552354</v>
      </c>
      <c r="E536" s="35">
        <f>E521</f>
        <v>1.2766326530612244</v>
      </c>
      <c r="F536" s="35">
        <f>E528</f>
        <v>15.171710204081633</v>
      </c>
      <c r="G536" s="35">
        <f>G521</f>
        <v>0.07455982119245029</v>
      </c>
      <c r="H536" s="35">
        <f>H521</f>
        <v>0.02</v>
      </c>
      <c r="I536" s="35">
        <f>D536-L530/F536</f>
        <v>298.46130223478747</v>
      </c>
      <c r="J536" s="35">
        <f>-17.5+3.51*I536+38.864*E536^-0.5-0.30038*I536*E536^-0.5+0.0044766*I536^2-23.072/E536-0.000058066*I536^2/E536-0.010324*I536^1.9+IF(I536&lt;200,1.6-1.87*I536^0.3+0.2012*E536-21.75*H536+0.302*I536^0.6,-0.19-0.0006295*I536+0.7193*E536^-0.4+41.38*H536-0.4254*I536*E536^-0.4*H536)</f>
        <v>840.4381618890445</v>
      </c>
    </row>
    <row r="537" ht="15">
      <c r="F537" s="1" t="s">
        <v>1082</v>
      </c>
    </row>
    <row r="539" spans="5:6" ht="15.75">
      <c r="E539" s="2" t="s">
        <v>1077</v>
      </c>
      <c r="F539" s="12" t="s">
        <v>1105</v>
      </c>
    </row>
    <row r="540" ht="15">
      <c r="E540" s="1" t="s">
        <v>1074</v>
      </c>
    </row>
    <row r="541" spans="4:11" ht="15.75">
      <c r="D541" s="7" t="s">
        <v>1006</v>
      </c>
      <c r="E541" s="7" t="s">
        <v>850</v>
      </c>
      <c r="F541" s="7" t="s">
        <v>855</v>
      </c>
      <c r="G541" s="7" t="s">
        <v>860</v>
      </c>
      <c r="H541" s="7" t="s">
        <v>858</v>
      </c>
      <c r="I541" s="3" t="s">
        <v>109</v>
      </c>
      <c r="J541" s="7" t="s">
        <v>1008</v>
      </c>
      <c r="K541" s="7" t="s">
        <v>1075</v>
      </c>
    </row>
    <row r="542" spans="4:11" ht="15.75">
      <c r="D542" s="35">
        <f>H533</f>
        <v>853.3857216956907</v>
      </c>
      <c r="E542" s="4">
        <v>304.2330528433562</v>
      </c>
      <c r="F542" s="4">
        <v>15000</v>
      </c>
      <c r="G542" s="4">
        <v>152914.56538212864</v>
      </c>
      <c r="H542" s="4">
        <v>167914.56538212864</v>
      </c>
      <c r="I542" s="35">
        <f>E533</f>
        <v>100</v>
      </c>
      <c r="J542" s="35">
        <f>(D542*G542+E542*F542)/H542</f>
        <v>804.329286275457</v>
      </c>
      <c r="K542" s="35">
        <f>3074.3-3.1077*I542-2.3864*10^7*J542^-1.3+22437.3*I542*J542^-1.3+0.0041697*I542^2+4.8476*10^10*J542^-2.6-177649*I542^2*J542^-2.6</f>
        <v>496.53645119188155</v>
      </c>
    </row>
    <row r="544" ht="15">
      <c r="D544" s="1" t="s">
        <v>1081</v>
      </c>
    </row>
    <row r="545" spans="4:12" ht="15.75">
      <c r="D545" s="7" t="s">
        <v>1066</v>
      </c>
      <c r="E545" s="7" t="s">
        <v>1067</v>
      </c>
      <c r="F545" s="7" t="s">
        <v>1010</v>
      </c>
      <c r="G545" s="7" t="s">
        <v>1068</v>
      </c>
      <c r="H545" s="7" t="s">
        <v>1069</v>
      </c>
      <c r="I545" s="7" t="s">
        <v>1070</v>
      </c>
      <c r="J545" s="7" t="s">
        <v>1071</v>
      </c>
      <c r="K545" s="7" t="s">
        <v>1036</v>
      </c>
      <c r="L545" s="1" t="s">
        <v>695</v>
      </c>
    </row>
    <row r="546" spans="4:12" ht="15.75">
      <c r="D546" s="4">
        <v>0.04</v>
      </c>
      <c r="E546" s="35">
        <f>F536</f>
        <v>15.171710204081633</v>
      </c>
      <c r="F546" s="35">
        <f>I536</f>
        <v>298.46130223478747</v>
      </c>
      <c r="G546" s="35">
        <f>G536</f>
        <v>0.07455982119245029</v>
      </c>
      <c r="H546" s="35">
        <f>H460</f>
        <v>0.7100393383066066</v>
      </c>
      <c r="I546" s="35">
        <f>G526</f>
        <v>0.17551259339011457</v>
      </c>
      <c r="J546" s="35">
        <f>J460</f>
        <v>0.04078371071400611</v>
      </c>
      <c r="K546" s="35">
        <f>K458</f>
        <v>10</v>
      </c>
      <c r="L546" s="35">
        <f>H536</f>
        <v>0.02</v>
      </c>
    </row>
    <row r="547" spans="4:12" ht="15.75">
      <c r="D547" s="7" t="s">
        <v>1072</v>
      </c>
      <c r="E547" s="7" t="s">
        <v>699</v>
      </c>
      <c r="F547" s="7" t="s">
        <v>1011</v>
      </c>
      <c r="G547" s="7" t="s">
        <v>645</v>
      </c>
      <c r="H547" s="7" t="s">
        <v>644</v>
      </c>
      <c r="I547" s="7" t="s">
        <v>102</v>
      </c>
      <c r="J547" s="7" t="s">
        <v>646</v>
      </c>
      <c r="K547" s="3" t="s">
        <v>706</v>
      </c>
      <c r="L547" s="7" t="s">
        <v>1012</v>
      </c>
    </row>
    <row r="548" spans="4:12" ht="15.75">
      <c r="D548" s="35">
        <f>D546*9.51/(1-L546)</f>
        <v>0.3881632653061225</v>
      </c>
      <c r="E548" s="35">
        <f>E546+D548</f>
        <v>15.559873469387755</v>
      </c>
      <c r="F548" s="35">
        <f>(F546*E546+K546*D548)/E548</f>
        <v>291.2652230886299</v>
      </c>
      <c r="G548" s="35">
        <f>G546*E546/E548</f>
        <v>0.07269981997125521</v>
      </c>
      <c r="H548" s="35">
        <f>(H546*E546+0.79*D548)/E548</f>
        <v>0.7120340712072313</v>
      </c>
      <c r="I548" s="35">
        <f>(I546*E546+L546*D548)/E548</f>
        <v>0.17163310965489723</v>
      </c>
      <c r="J548" s="35">
        <f>(J546*E546+0.21*D548)/E548</f>
        <v>0.045005052714084816</v>
      </c>
      <c r="K548" s="35">
        <f>1+J548*1.01/(G548*0.21*9.51)</f>
        <v>1.3130758017492712</v>
      </c>
      <c r="L548" s="35">
        <f>-17.5+3.51*F548+38.864*K548^-0.5-0.30038*F548*K548^-0.5+0.0044766*F548^2-23.072/K548-0.000058066*F548^2/K548-0.010324*F548^1.9+IF(F548&lt;200,1.6-1.87*F548^0.3+0.2012*K548-21.75*L546+0.302*F548^0.6,-0.19-0.0006295*F548+0.7193*K548^-0.4+41.38*L546-0.4254*F548*K548^-0.4*L546)</f>
        <v>823.1463704498103</v>
      </c>
    </row>
    <row r="550" spans="3:12" ht="15.75">
      <c r="C550" s="4">
        <v>1</v>
      </c>
      <c r="E550" s="1" t="s">
        <v>1102</v>
      </c>
      <c r="J550" s="1" t="s">
        <v>1106</v>
      </c>
      <c r="K550" s="12" t="s">
        <v>984</v>
      </c>
      <c r="L550" s="12" t="s">
        <v>985</v>
      </c>
    </row>
    <row r="551" spans="4:12" ht="15.75">
      <c r="D551" s="1" t="s">
        <v>987</v>
      </c>
      <c r="K551" s="39">
        <f>H542</f>
        <v>167914.56538212864</v>
      </c>
      <c r="L551" s="17">
        <v>0.1171</v>
      </c>
    </row>
    <row r="552" spans="4:12" ht="15">
      <c r="D552" s="3" t="s">
        <v>815</v>
      </c>
      <c r="E552" s="3" t="s">
        <v>988</v>
      </c>
      <c r="F552" s="3" t="s">
        <v>817</v>
      </c>
      <c r="G552" s="3" t="s">
        <v>102</v>
      </c>
      <c r="H552" s="3" t="s">
        <v>647</v>
      </c>
      <c r="I552" s="3" t="s">
        <v>989</v>
      </c>
      <c r="J552" s="3" t="s">
        <v>990</v>
      </c>
      <c r="K552" s="3" t="s">
        <v>991</v>
      </c>
      <c r="L552" s="3" t="s">
        <v>992</v>
      </c>
    </row>
    <row r="553" spans="4:12" ht="15.75">
      <c r="D553" s="4">
        <v>0.301</v>
      </c>
      <c r="E553" s="4">
        <v>30.4</v>
      </c>
      <c r="F553" s="35">
        <f>L461</f>
        <v>1</v>
      </c>
      <c r="G553" s="35">
        <f>I548</f>
        <v>0.17163310965489723</v>
      </c>
      <c r="H553" s="35">
        <f>G553+G548</f>
        <v>0.24433292962615244</v>
      </c>
      <c r="I553" s="4">
        <v>13.54</v>
      </c>
      <c r="J553" s="4">
        <v>0.64</v>
      </c>
      <c r="K553" s="35">
        <f>L555+(K555+1/J555)*L557*D555/D557</f>
        <v>929.5915839914464</v>
      </c>
      <c r="L553" s="35">
        <f>273+L548</f>
        <v>1096.1463704498103</v>
      </c>
    </row>
    <row r="554" spans="4:12" ht="15">
      <c r="D554" s="3" t="s">
        <v>835</v>
      </c>
      <c r="E554" s="3" t="s">
        <v>699</v>
      </c>
      <c r="F554" s="3" t="s">
        <v>544</v>
      </c>
      <c r="G554" s="3" t="s">
        <v>209</v>
      </c>
      <c r="H554" s="3" t="s">
        <v>206</v>
      </c>
      <c r="I554" s="3" t="s">
        <v>993</v>
      </c>
      <c r="J554" s="3" t="s">
        <v>994</v>
      </c>
      <c r="K554" s="3" t="s">
        <v>995</v>
      </c>
      <c r="L554" s="3" t="s">
        <v>996</v>
      </c>
    </row>
    <row r="555" spans="4:12" ht="15.75">
      <c r="D555" s="35">
        <f>J461</f>
        <v>16000</v>
      </c>
      <c r="E555" s="35">
        <f>E548</f>
        <v>15.559873469387755</v>
      </c>
      <c r="F555" s="35">
        <f>L553-273</f>
        <v>823.1463704498103</v>
      </c>
      <c r="G555" s="35">
        <f>D555*E555/(3600*E553)*(F555+273)/273</f>
        <v>9.133891795797016</v>
      </c>
      <c r="H555" s="35">
        <f>1.1077-0.002944*F555^0.7+0.67936*G553+0.0050854*F555^0.7*G553+0.0000089737*F555^1.4-2.4659*G553^2-0.000046377*F555^1.4*G553^2+23.168*F555^-0.1*G553^4</f>
        <v>1.0262125210784803</v>
      </c>
      <c r="I555" s="35">
        <f>I553*H555*G555^J553</f>
        <v>57.23685013588702</v>
      </c>
      <c r="J555" s="35">
        <f>L551*K551^0.8</f>
        <v>1772.6687587714298</v>
      </c>
      <c r="K555" s="4">
        <v>0.005</v>
      </c>
      <c r="L555" s="35">
        <f>J575</f>
        <v>852.0808623617556</v>
      </c>
    </row>
    <row r="556" spans="4:12" ht="15">
      <c r="D556" s="3" t="s">
        <v>997</v>
      </c>
      <c r="E556" s="3" t="s">
        <v>820</v>
      </c>
      <c r="F556" s="3" t="s">
        <v>998</v>
      </c>
      <c r="G556" s="3" t="s">
        <v>999</v>
      </c>
      <c r="H556" s="3" t="s">
        <v>1000</v>
      </c>
      <c r="I556" s="3" t="s">
        <v>1001</v>
      </c>
      <c r="J556" s="3" t="s">
        <v>1002</v>
      </c>
      <c r="K556" s="3" t="s">
        <v>1003</v>
      </c>
      <c r="L556" s="3" t="s">
        <v>1004</v>
      </c>
    </row>
    <row r="557" spans="4:12" ht="15.75">
      <c r="D557" s="35">
        <f>1600/10</f>
        <v>160</v>
      </c>
      <c r="E557" s="35">
        <f>((0.78+1.6*G553)/(F553*H553*D553)^0.5-0.1)*(1-0.37*L553/1000)</f>
        <v>2.252177950213969</v>
      </c>
      <c r="F557" s="35">
        <f>E557*H553</f>
        <v>0.5502812366152019</v>
      </c>
      <c r="G557" s="35">
        <f>1-EXP(-F557*F553*D553)</f>
        <v>0.1526442428120507</v>
      </c>
      <c r="H557" s="35">
        <f>0.000000049*(0.82+1)/2*G557*L553^3*(1-(K553/L553)^3.6)/(1-K553/L553)</f>
        <v>26.40200549200172</v>
      </c>
      <c r="I557" s="35">
        <f>I555+H557</f>
        <v>83.63885562788874</v>
      </c>
      <c r="J557" s="35">
        <f>1/(1/I557+K555+1/J555)</f>
        <v>57.07669161387259</v>
      </c>
      <c r="K557" s="35">
        <f>L553-L555</f>
        <v>244.06550808805468</v>
      </c>
      <c r="L557" s="35">
        <f>J557*D557*K557/D555</f>
        <v>139.30451738725023</v>
      </c>
    </row>
    <row r="558" spans="4:12" ht="15.75">
      <c r="D558" s="1" t="s">
        <v>1104</v>
      </c>
      <c r="L558" s="18"/>
    </row>
    <row r="559" spans="4:10" ht="15">
      <c r="D559" s="3" t="s">
        <v>1006</v>
      </c>
      <c r="E559" s="3" t="s">
        <v>109</v>
      </c>
      <c r="F559" s="3" t="s">
        <v>840</v>
      </c>
      <c r="G559" s="3" t="s">
        <v>1007</v>
      </c>
      <c r="H559" s="3" t="s">
        <v>1008</v>
      </c>
      <c r="I559" s="3" t="s">
        <v>544</v>
      </c>
      <c r="J559" s="3" t="s">
        <v>996</v>
      </c>
    </row>
    <row r="560" spans="4:10" ht="15.75">
      <c r="D560" s="35">
        <f>H575</f>
        <v>853.94522979845</v>
      </c>
      <c r="E560" s="35">
        <f>E575</f>
        <v>100</v>
      </c>
      <c r="F560" s="35">
        <f>F575</f>
        <v>0.994</v>
      </c>
      <c r="G560" s="35">
        <f>L557*F560</f>
        <v>138.46869028292673</v>
      </c>
      <c r="H560" s="35">
        <f>D560+G560*D555/K551</f>
        <v>867.1394338836343</v>
      </c>
      <c r="I560" s="35">
        <f>3074.3-3.1077*E560-2.3864*10^7*H560^-1.3+22437.3*E560*H560^-1.3+0.0041697*E560^2+4.8476*10^10*H560^-2.6-177649*E560^2*H560^-2.6</f>
        <v>601.4279607146264</v>
      </c>
      <c r="J560" s="35">
        <f>I560+273</f>
        <v>874.4279607146264</v>
      </c>
    </row>
    <row r="561" ht="15">
      <c r="D561" s="1" t="s">
        <v>1009</v>
      </c>
    </row>
    <row r="562" spans="4:10" ht="15.75">
      <c r="D562" s="3" t="s">
        <v>1010</v>
      </c>
      <c r="E562" s="3" t="s">
        <v>706</v>
      </c>
      <c r="F562" s="3" t="s">
        <v>699</v>
      </c>
      <c r="G562" s="7" t="s">
        <v>645</v>
      </c>
      <c r="H562" s="1" t="s">
        <v>695</v>
      </c>
      <c r="I562" s="3" t="s">
        <v>1011</v>
      </c>
      <c r="J562" s="3" t="s">
        <v>1012</v>
      </c>
    </row>
    <row r="563" spans="4:10" ht="15.75">
      <c r="D563" s="35">
        <f>F548</f>
        <v>291.2652230886299</v>
      </c>
      <c r="E563" s="35">
        <f>K548</f>
        <v>1.3130758017492712</v>
      </c>
      <c r="F563" s="35">
        <f>E555</f>
        <v>15.559873469387755</v>
      </c>
      <c r="G563" s="35">
        <f>G548</f>
        <v>0.07269981997125521</v>
      </c>
      <c r="H563" s="35">
        <f>L546</f>
        <v>0.02</v>
      </c>
      <c r="I563" s="35">
        <f>D563-L557/F563</f>
        <v>282.31241780642017</v>
      </c>
      <c r="J563" s="35">
        <f>-17.5+3.51*I563+38.864*E563^-0.5-0.30038*I563*E563^-0.5+0.0044766*I563^2-23.072/E563-0.000058066*I563^2/E563-0.010324*I563^1.9+IF(I563&lt;200,1.6-1.87*I563^0.3+0.2012*E563-21.75*H563+0.302*I563^0.6,-0.19-0.0006295*I563+0.7193*E563^-0.4+41.38*H563-0.4254*I563*E563^-0.4*H563)</f>
        <v>799.9819228323876</v>
      </c>
    </row>
    <row r="565" spans="3:12" ht="15.75">
      <c r="C565" s="4">
        <v>2</v>
      </c>
      <c r="E565" s="1" t="s">
        <v>1102</v>
      </c>
      <c r="K565" s="12" t="s">
        <v>984</v>
      </c>
      <c r="L565" s="12" t="s">
        <v>985</v>
      </c>
    </row>
    <row r="566" spans="4:12" ht="15.75">
      <c r="D566" s="1" t="s">
        <v>987</v>
      </c>
      <c r="K566" s="39">
        <f>K551</f>
        <v>167914.56538212864</v>
      </c>
      <c r="L566" s="17">
        <v>0.1171</v>
      </c>
    </row>
    <row r="567" spans="4:12" ht="15">
      <c r="D567" s="3" t="s">
        <v>815</v>
      </c>
      <c r="E567" s="3" t="s">
        <v>988</v>
      </c>
      <c r="F567" s="3" t="s">
        <v>817</v>
      </c>
      <c r="G567" s="3" t="s">
        <v>102</v>
      </c>
      <c r="H567" s="3" t="s">
        <v>647</v>
      </c>
      <c r="I567" s="3" t="s">
        <v>989</v>
      </c>
      <c r="J567" s="3" t="s">
        <v>990</v>
      </c>
      <c r="K567" s="3" t="s">
        <v>991</v>
      </c>
      <c r="L567" s="3" t="s">
        <v>992</v>
      </c>
    </row>
    <row r="568" spans="4:12" ht="15.75">
      <c r="D568" s="35">
        <f aca="true" t="shared" si="44" ref="D568:J568">D553</f>
        <v>0.301</v>
      </c>
      <c r="E568" s="35">
        <f t="shared" si="44"/>
        <v>30.4</v>
      </c>
      <c r="F568" s="35">
        <f t="shared" si="44"/>
        <v>1</v>
      </c>
      <c r="G568" s="35">
        <f t="shared" si="44"/>
        <v>0.17163310965489723</v>
      </c>
      <c r="H568" s="35">
        <f t="shared" si="44"/>
        <v>0.24433292962615244</v>
      </c>
      <c r="I568" s="35">
        <f t="shared" si="44"/>
        <v>13.54</v>
      </c>
      <c r="J568" s="35">
        <f t="shared" si="44"/>
        <v>0.64</v>
      </c>
      <c r="K568" s="35">
        <f>L570+(K570+1/J570)*L572*D570/D572</f>
        <v>906.047527938698</v>
      </c>
      <c r="L568" s="35">
        <f>273+J563</f>
        <v>1072.9819228323877</v>
      </c>
    </row>
    <row r="569" spans="4:12" ht="15">
      <c r="D569" s="3" t="s">
        <v>835</v>
      </c>
      <c r="E569" s="3" t="s">
        <v>699</v>
      </c>
      <c r="F569" s="3" t="s">
        <v>544</v>
      </c>
      <c r="G569" s="3" t="s">
        <v>209</v>
      </c>
      <c r="H569" s="3" t="s">
        <v>206</v>
      </c>
      <c r="I569" s="3" t="s">
        <v>993</v>
      </c>
      <c r="J569" s="3" t="s">
        <v>994</v>
      </c>
      <c r="K569" s="3" t="s">
        <v>995</v>
      </c>
      <c r="L569" s="3" t="s">
        <v>996</v>
      </c>
    </row>
    <row r="570" spans="4:12" ht="15.75">
      <c r="D570" s="35">
        <f>D555</f>
        <v>16000</v>
      </c>
      <c r="E570" s="35">
        <f>E555</f>
        <v>15.559873469387755</v>
      </c>
      <c r="F570" s="35">
        <f>L568-273</f>
        <v>799.9819228323877</v>
      </c>
      <c r="G570" s="35">
        <f>D570*E570/(3600*E568)*(F570+273)/273</f>
        <v>8.940868707137676</v>
      </c>
      <c r="H570" s="35">
        <f>1.1077-0.002944*F570^0.7+0.67936*G568+0.0050854*F570^0.7*G568+0.0000089737*F570^1.4-2.4659*G568^2-0.000046377*F570^1.4*G568^2+23.168*F570^-0.1*G568^4</f>
        <v>1.0271464501778391</v>
      </c>
      <c r="I570" s="35">
        <f>I568*H570*G570^J568</f>
        <v>56.51113800890469</v>
      </c>
      <c r="J570" s="35">
        <f>L566*K566^0.8</f>
        <v>1772.6687587714298</v>
      </c>
      <c r="K570" s="35">
        <f>K555</f>
        <v>0.005</v>
      </c>
      <c r="L570" s="35">
        <f>J590</f>
        <v>830.3650329750617</v>
      </c>
    </row>
    <row r="571" spans="4:12" ht="15">
      <c r="D571" s="3" t="s">
        <v>997</v>
      </c>
      <c r="E571" s="3" t="s">
        <v>820</v>
      </c>
      <c r="F571" s="3" t="s">
        <v>998</v>
      </c>
      <c r="G571" s="3" t="s">
        <v>999</v>
      </c>
      <c r="H571" s="3" t="s">
        <v>1000</v>
      </c>
      <c r="I571" s="3" t="s">
        <v>1001</v>
      </c>
      <c r="J571" s="3" t="s">
        <v>1002</v>
      </c>
      <c r="K571" s="3" t="s">
        <v>1003</v>
      </c>
      <c r="L571" s="3" t="s">
        <v>1004</v>
      </c>
    </row>
    <row r="572" spans="4:12" ht="15.75">
      <c r="D572" s="35">
        <f>D557</f>
        <v>160</v>
      </c>
      <c r="E572" s="35">
        <f>((0.78+1.6*G568)/(F568*H568*D568)^0.5-0.1)*(1-0.37*L568/1000)</f>
        <v>2.2846514197745953</v>
      </c>
      <c r="F572" s="35">
        <f>E572*H568</f>
        <v>0.5582155745680755</v>
      </c>
      <c r="G572" s="35">
        <f>1-EXP(-F572*F568*D568)</f>
        <v>0.15466551350598623</v>
      </c>
      <c r="H572" s="35">
        <f>0.000000049*(0.82+1)/2*G572*L568^3*(1-(K568/L568)^3.6)/(1-K568/L568)</f>
        <v>24.969239642099875</v>
      </c>
      <c r="I572" s="35">
        <f>I570+H572</f>
        <v>81.48037765100456</v>
      </c>
      <c r="J572" s="35">
        <f>1/(1/I572+K570+1/J570)</f>
        <v>56.06319307315541</v>
      </c>
      <c r="K572" s="35">
        <f>L568-L570</f>
        <v>242.616889857326</v>
      </c>
      <c r="L572" s="35">
        <f>J572*D572*K572/D570</f>
        <v>136.01877538879748</v>
      </c>
    </row>
    <row r="573" spans="4:12" ht="15.75">
      <c r="D573" s="1" t="s">
        <v>1104</v>
      </c>
      <c r="L573" s="18"/>
    </row>
    <row r="574" spans="4:10" ht="15">
      <c r="D574" s="3" t="s">
        <v>1006</v>
      </c>
      <c r="E574" s="3" t="s">
        <v>109</v>
      </c>
      <c r="F574" s="3" t="s">
        <v>840</v>
      </c>
      <c r="G574" s="3" t="s">
        <v>1007</v>
      </c>
      <c r="H574" s="3" t="s">
        <v>1008</v>
      </c>
      <c r="I574" s="3" t="s">
        <v>544</v>
      </c>
      <c r="J574" s="3" t="s">
        <v>996</v>
      </c>
    </row>
    <row r="575" spans="4:10" ht="15.75">
      <c r="D575" s="35">
        <f>H590</f>
        <v>841.0622342175698</v>
      </c>
      <c r="E575" s="35">
        <f>E590</f>
        <v>100</v>
      </c>
      <c r="F575" s="35">
        <f>F590</f>
        <v>0.994</v>
      </c>
      <c r="G575" s="35">
        <f>L572*F575</f>
        <v>135.2026627364647</v>
      </c>
      <c r="H575" s="35">
        <f>D575+G575*D570/K566</f>
        <v>853.9452297984503</v>
      </c>
      <c r="I575" s="35">
        <f>3074.3-3.1077*E575-2.3864*10^7*H575^-1.3+22437.3*E575*H575^-1.3+0.0041697*E575^2+4.8476*10^10*H575^-2.6-177649*E575^2*H575^-2.6</f>
        <v>579.0808623617571</v>
      </c>
      <c r="J575" s="35">
        <f>I575+273</f>
        <v>852.0808623617571</v>
      </c>
    </row>
    <row r="576" ht="15">
      <c r="D576" s="1" t="s">
        <v>1009</v>
      </c>
    </row>
    <row r="577" spans="4:10" ht="15.75">
      <c r="D577" s="3" t="s">
        <v>1010</v>
      </c>
      <c r="E577" s="3" t="s">
        <v>706</v>
      </c>
      <c r="F577" s="3" t="s">
        <v>699</v>
      </c>
      <c r="G577" s="7" t="s">
        <v>645</v>
      </c>
      <c r="H577" s="1" t="s">
        <v>695</v>
      </c>
      <c r="I577" s="3" t="s">
        <v>1011</v>
      </c>
      <c r="J577" s="3" t="s">
        <v>1012</v>
      </c>
    </row>
    <row r="578" spans="4:10" ht="15.75">
      <c r="D578" s="35">
        <f>I563</f>
        <v>282.31241780642017</v>
      </c>
      <c r="E578" s="35">
        <f>E563</f>
        <v>1.3130758017492712</v>
      </c>
      <c r="F578" s="35">
        <f>E570</f>
        <v>15.559873469387755</v>
      </c>
      <c r="G578" s="35">
        <f>G563</f>
        <v>0.07269981997125521</v>
      </c>
      <c r="H578" s="35">
        <f>H563</f>
        <v>0.02</v>
      </c>
      <c r="I578" s="35">
        <f>D578-L572/F578</f>
        <v>273.5707801795848</v>
      </c>
      <c r="J578" s="35">
        <f>-17.5+3.51*I578+38.864*E578^-0.5-0.30038*I578*E578^-0.5+0.0044766*I578^2-23.072/E578-0.000058066*I578^2/E578-0.010324*I578^1.9+IF(I578&lt;200,1.6-1.87*I578^0.3+0.2012*E578-21.75*H578+0.302*I578^0.6,-0.19-0.0006295*I578+0.7193*E578^-0.4+41.38*H578-0.4254*I578*E578^-0.4*H578)</f>
        <v>777.2729026161297</v>
      </c>
    </row>
    <row r="580" spans="3:12" ht="15.75">
      <c r="C580" s="4">
        <v>3</v>
      </c>
      <c r="E580" s="1" t="s">
        <v>1102</v>
      </c>
      <c r="K580" s="12" t="s">
        <v>984</v>
      </c>
      <c r="L580" s="12" t="s">
        <v>985</v>
      </c>
    </row>
    <row r="581" spans="4:12" ht="15.75">
      <c r="D581" s="1" t="s">
        <v>987</v>
      </c>
      <c r="K581" s="39">
        <f>K566</f>
        <v>167914.56538212864</v>
      </c>
      <c r="L581" s="17">
        <v>0.1171</v>
      </c>
    </row>
    <row r="582" spans="4:12" ht="15">
      <c r="D582" s="3" t="s">
        <v>815</v>
      </c>
      <c r="E582" s="3" t="s">
        <v>988</v>
      </c>
      <c r="F582" s="3" t="s">
        <v>817</v>
      </c>
      <c r="G582" s="3" t="s">
        <v>102</v>
      </c>
      <c r="H582" s="3" t="s">
        <v>647</v>
      </c>
      <c r="I582" s="3" t="s">
        <v>989</v>
      </c>
      <c r="J582" s="3" t="s">
        <v>990</v>
      </c>
      <c r="K582" s="3" t="s">
        <v>991</v>
      </c>
      <c r="L582" s="3" t="s">
        <v>992</v>
      </c>
    </row>
    <row r="583" spans="4:12" ht="15.75">
      <c r="D583" s="35">
        <f aca="true" t="shared" si="45" ref="D583:J583">D568</f>
        <v>0.301</v>
      </c>
      <c r="E583" s="35">
        <f t="shared" si="45"/>
        <v>30.4</v>
      </c>
      <c r="F583" s="35">
        <f t="shared" si="45"/>
        <v>1</v>
      </c>
      <c r="G583" s="35">
        <f t="shared" si="45"/>
        <v>0.17163310965489723</v>
      </c>
      <c r="H583" s="35">
        <f t="shared" si="45"/>
        <v>0.24433292962615244</v>
      </c>
      <c r="I583" s="35">
        <f t="shared" si="45"/>
        <v>13.54</v>
      </c>
      <c r="J583" s="35">
        <f t="shared" si="45"/>
        <v>0.64</v>
      </c>
      <c r="K583" s="35">
        <f>L585+(K585+1/J585)*L587*D585/D587</f>
        <v>883.1623542136266</v>
      </c>
      <c r="L583" s="35">
        <f>273+J578</f>
        <v>1050.2729026161296</v>
      </c>
    </row>
    <row r="584" spans="4:12" ht="15">
      <c r="D584" s="3" t="s">
        <v>835</v>
      </c>
      <c r="E584" s="3" t="s">
        <v>699</v>
      </c>
      <c r="F584" s="3" t="s">
        <v>544</v>
      </c>
      <c r="G584" s="3" t="s">
        <v>209</v>
      </c>
      <c r="H584" s="3" t="s">
        <v>206</v>
      </c>
      <c r="I584" s="3" t="s">
        <v>993</v>
      </c>
      <c r="J584" s="3" t="s">
        <v>994</v>
      </c>
      <c r="K584" s="3" t="s">
        <v>995</v>
      </c>
      <c r="L584" s="3" t="s">
        <v>996</v>
      </c>
    </row>
    <row r="585" spans="4:12" ht="15.75">
      <c r="D585" s="35">
        <f>D570</f>
        <v>16000</v>
      </c>
      <c r="E585" s="35">
        <f>E570</f>
        <v>15.559873469387755</v>
      </c>
      <c r="F585" s="35">
        <f>L583-273</f>
        <v>777.2729026161296</v>
      </c>
      <c r="G585" s="35">
        <f>D585*E585/(3600*E583)*(F585+273)/273</f>
        <v>8.751640572067767</v>
      </c>
      <c r="H585" s="35">
        <f>1.1077-0.002944*F585^0.7+0.67936*G583+0.0050854*F585^0.7*G583+0.0000089737*F585^1.4-2.4659*G583^2-0.000046377*F585^1.4*G583^2+23.168*F585^-0.1*G583^4</f>
        <v>1.0281412655472546</v>
      </c>
      <c r="I585" s="35">
        <f>I583*H585*G585^J583</f>
        <v>55.79672612330561</v>
      </c>
      <c r="J585" s="35">
        <f>L581*K581^0.8</f>
        <v>1772.6687587714298</v>
      </c>
      <c r="K585" s="35">
        <f>K570</f>
        <v>0.005</v>
      </c>
      <c r="L585" s="35">
        <f>J605</f>
        <v>809.3333540841357</v>
      </c>
    </row>
    <row r="586" spans="4:12" ht="15">
      <c r="D586" s="3" t="s">
        <v>997</v>
      </c>
      <c r="E586" s="3" t="s">
        <v>820</v>
      </c>
      <c r="F586" s="3" t="s">
        <v>998</v>
      </c>
      <c r="G586" s="3" t="s">
        <v>999</v>
      </c>
      <c r="H586" s="3" t="s">
        <v>1000</v>
      </c>
      <c r="I586" s="3" t="s">
        <v>1001</v>
      </c>
      <c r="J586" s="3" t="s">
        <v>1002</v>
      </c>
      <c r="K586" s="3" t="s">
        <v>1003</v>
      </c>
      <c r="L586" s="3" t="s">
        <v>1004</v>
      </c>
    </row>
    <row r="587" spans="4:12" ht="15.75">
      <c r="D587" s="35">
        <f>D572</f>
        <v>160</v>
      </c>
      <c r="E587" s="35">
        <f>((0.78+1.6*G583)/(F583*H583*D583)^0.5-0.1)*(1-0.37*L583/1000)</f>
        <v>2.3164864407914423</v>
      </c>
      <c r="F587" s="35">
        <f>E587*H583</f>
        <v>0.5659939185178318</v>
      </c>
      <c r="G587" s="35">
        <f>1-EXP(-F587*F583*D583)</f>
        <v>0.15664236443962365</v>
      </c>
      <c r="H587" s="35">
        <f>0.000000049*(0.82+1)/2*G587*L583^3*(1-(K583/L583)^3.6)/(1-K583/L583)</f>
        <v>23.604378100267194</v>
      </c>
      <c r="I587" s="35">
        <f>I585+H587</f>
        <v>79.4011042235728</v>
      </c>
      <c r="J587" s="35">
        <f>1/(1/I587+K585+1/J585)</f>
        <v>55.07091779415214</v>
      </c>
      <c r="K587" s="35">
        <f>L583-L585</f>
        <v>240.93954853199386</v>
      </c>
      <c r="L587" s="35">
        <f>J587*D587*K587/D585</f>
        <v>132.68762070565563</v>
      </c>
    </row>
    <row r="588" spans="4:12" ht="15.75">
      <c r="D588" s="1" t="s">
        <v>1104</v>
      </c>
      <c r="L588" s="18"/>
    </row>
    <row r="589" spans="4:10" ht="15">
      <c r="D589" s="3" t="s">
        <v>1006</v>
      </c>
      <c r="E589" s="3" t="s">
        <v>109</v>
      </c>
      <c r="F589" s="3" t="s">
        <v>840</v>
      </c>
      <c r="G589" s="3" t="s">
        <v>1007</v>
      </c>
      <c r="H589" s="3" t="s">
        <v>1008</v>
      </c>
      <c r="I589" s="3" t="s">
        <v>544</v>
      </c>
      <c r="J589" s="3" t="s">
        <v>996</v>
      </c>
    </row>
    <row r="590" spans="4:10" ht="15.75">
      <c r="D590" s="35">
        <f>H605</f>
        <v>828.4947483958343</v>
      </c>
      <c r="E590" s="35">
        <f>E605</f>
        <v>100</v>
      </c>
      <c r="F590" s="35">
        <f>F605</f>
        <v>0.994</v>
      </c>
      <c r="G590" s="35">
        <f>L587*F590</f>
        <v>131.8914949814217</v>
      </c>
      <c r="H590" s="35">
        <f>D590+G590*D585/K581</f>
        <v>841.0622342175697</v>
      </c>
      <c r="I590" s="35">
        <f>3074.3-3.1077*E590-2.3864*10^7*H590^-1.3+22437.3*E590*H590^-1.3+0.0041697*E590^2+4.8476*10^10*H590^-2.6-177649*E590^2*H590^-2.6</f>
        <v>557.3650329750617</v>
      </c>
      <c r="J590" s="35">
        <f>I590+273</f>
        <v>830.3650329750617</v>
      </c>
    </row>
    <row r="591" ht="15">
      <c r="D591" s="1" t="s">
        <v>1009</v>
      </c>
    </row>
    <row r="592" spans="4:10" ht="15.75">
      <c r="D592" s="3" t="s">
        <v>1010</v>
      </c>
      <c r="E592" s="3" t="s">
        <v>706</v>
      </c>
      <c r="F592" s="3" t="s">
        <v>699</v>
      </c>
      <c r="G592" s="7" t="s">
        <v>645</v>
      </c>
      <c r="H592" s="1" t="s">
        <v>695</v>
      </c>
      <c r="I592" s="3" t="s">
        <v>1011</v>
      </c>
      <c r="J592" s="3" t="s">
        <v>1012</v>
      </c>
    </row>
    <row r="593" spans="4:10" ht="15.75">
      <c r="D593" s="35">
        <f>I578</f>
        <v>273.5707801795848</v>
      </c>
      <c r="E593" s="35">
        <f>E578</f>
        <v>1.3130758017492712</v>
      </c>
      <c r="F593" s="35">
        <f>E585</f>
        <v>15.559873469387755</v>
      </c>
      <c r="G593" s="35">
        <f>G578</f>
        <v>0.07269981997125521</v>
      </c>
      <c r="H593" s="35">
        <f>H578</f>
        <v>0.02</v>
      </c>
      <c r="I593" s="35">
        <f>D593-L587/F593</f>
        <v>265.04322878485766</v>
      </c>
      <c r="J593" s="35">
        <f>-17.5+3.51*I593+38.864*E593^-0.5-0.30038*I593*E593^-0.5+0.0044766*I593^2-23.072/E593-0.000058066*I593^2/E593-0.010324*I593^1.9+IF(I593&lt;200,1.6-1.87*I593^0.3+0.2012*E593-21.75*H593+0.302*I593^0.6,-0.19-0.0006295*I593+0.7193*E593^-0.4+41.38*H593-0.4254*I593*E593^-0.4*H593)</f>
        <v>755.0311198303835</v>
      </c>
    </row>
    <row r="595" spans="3:12" ht="15.75">
      <c r="C595" s="4">
        <v>4</v>
      </c>
      <c r="E595" s="1" t="s">
        <v>1102</v>
      </c>
      <c r="K595" s="12" t="s">
        <v>984</v>
      </c>
      <c r="L595" s="12" t="s">
        <v>985</v>
      </c>
    </row>
    <row r="596" spans="4:12" ht="15.75">
      <c r="D596" s="1" t="s">
        <v>987</v>
      </c>
      <c r="K596" s="39">
        <f>K581</f>
        <v>167914.56538212864</v>
      </c>
      <c r="L596" s="17">
        <v>0.1171</v>
      </c>
    </row>
    <row r="597" spans="4:12" ht="15">
      <c r="D597" s="3" t="s">
        <v>815</v>
      </c>
      <c r="E597" s="3" t="s">
        <v>988</v>
      </c>
      <c r="F597" s="3" t="s">
        <v>817</v>
      </c>
      <c r="G597" s="3" t="s">
        <v>102</v>
      </c>
      <c r="H597" s="3" t="s">
        <v>647</v>
      </c>
      <c r="I597" s="3" t="s">
        <v>989</v>
      </c>
      <c r="J597" s="3" t="s">
        <v>990</v>
      </c>
      <c r="K597" s="3" t="s">
        <v>991</v>
      </c>
      <c r="L597" s="3" t="s">
        <v>992</v>
      </c>
    </row>
    <row r="598" spans="4:12" ht="15.75">
      <c r="D598" s="35">
        <f aca="true" t="shared" si="46" ref="D598:J598">D583</f>
        <v>0.301</v>
      </c>
      <c r="E598" s="35">
        <f t="shared" si="46"/>
        <v>30.4</v>
      </c>
      <c r="F598" s="35">
        <f t="shared" si="46"/>
        <v>1</v>
      </c>
      <c r="G598" s="35">
        <f t="shared" si="46"/>
        <v>0.17163310965489723</v>
      </c>
      <c r="H598" s="35">
        <f t="shared" si="46"/>
        <v>0.24433292962615244</v>
      </c>
      <c r="I598" s="35">
        <f t="shared" si="46"/>
        <v>13.54</v>
      </c>
      <c r="J598" s="35">
        <f t="shared" si="46"/>
        <v>0.64</v>
      </c>
      <c r="K598" s="35">
        <f>L600+(K600+1/J600)*L602*D600/D602</f>
        <v>860.9826033895218</v>
      </c>
      <c r="L598" s="35">
        <f>273+J593</f>
        <v>1028.0311198303834</v>
      </c>
    </row>
    <row r="599" spans="4:12" ht="15">
      <c r="D599" s="3" t="s">
        <v>835</v>
      </c>
      <c r="E599" s="3" t="s">
        <v>699</v>
      </c>
      <c r="F599" s="3" t="s">
        <v>544</v>
      </c>
      <c r="G599" s="3" t="s">
        <v>209</v>
      </c>
      <c r="H599" s="3" t="s">
        <v>206</v>
      </c>
      <c r="I599" s="3" t="s">
        <v>993</v>
      </c>
      <c r="J599" s="3" t="s">
        <v>994</v>
      </c>
      <c r="K599" s="3" t="s">
        <v>995</v>
      </c>
      <c r="L599" s="3" t="s">
        <v>996</v>
      </c>
    </row>
    <row r="600" spans="4:12" ht="15.75">
      <c r="D600" s="35">
        <f>D585</f>
        <v>16000</v>
      </c>
      <c r="E600" s="35">
        <f>E585</f>
        <v>15.559873469387755</v>
      </c>
      <c r="F600" s="35">
        <f>L598-273</f>
        <v>755.0311198303834</v>
      </c>
      <c r="G600" s="35">
        <f>D600*E600/(3600*E598)*(F600+273)/273</f>
        <v>8.566305800373671</v>
      </c>
      <c r="H600" s="35">
        <f>1.1077-0.002944*F600^0.7+0.67936*G598+0.0050854*F600^0.7*G598+0.0000089737*F600^1.4-2.4659*G598^2-0.000046377*F600^1.4*G598^2+23.168*F600^-0.1*G598^4</f>
        <v>1.0291937915071125</v>
      </c>
      <c r="I600" s="35">
        <f>I598*H600*G600^J598</f>
        <v>55.093924470361635</v>
      </c>
      <c r="J600" s="35">
        <f>L596*K596^0.8</f>
        <v>1772.6687587714298</v>
      </c>
      <c r="K600" s="35">
        <f>K585</f>
        <v>0.005</v>
      </c>
      <c r="L600" s="35">
        <f>J620</f>
        <v>789.0394202808408</v>
      </c>
    </row>
    <row r="601" spans="4:12" ht="15">
      <c r="D601" s="3" t="s">
        <v>997</v>
      </c>
      <c r="E601" s="3" t="s">
        <v>820</v>
      </c>
      <c r="F601" s="3" t="s">
        <v>998</v>
      </c>
      <c r="G601" s="3" t="s">
        <v>999</v>
      </c>
      <c r="H601" s="3" t="s">
        <v>1000</v>
      </c>
      <c r="I601" s="3" t="s">
        <v>1001</v>
      </c>
      <c r="J601" s="3" t="s">
        <v>1002</v>
      </c>
      <c r="K601" s="3" t="s">
        <v>1003</v>
      </c>
      <c r="L601" s="3" t="s">
        <v>1004</v>
      </c>
    </row>
    <row r="602" spans="4:12" ht="15.75">
      <c r="D602" s="35">
        <f>D587</f>
        <v>160</v>
      </c>
      <c r="E602" s="35">
        <f>((0.78+1.6*G598)/(F598*H598*D598)^0.5-0.1)*(1-0.37*L598/1000)</f>
        <v>2.347666457176713</v>
      </c>
      <c r="F602" s="35">
        <f>E602*H598</f>
        <v>0.5736122232670365</v>
      </c>
      <c r="G602" s="35">
        <f>1-EXP(-F602*F598*D598)</f>
        <v>0.15857406039732524</v>
      </c>
      <c r="H602" s="35">
        <f>0.000000049*(0.82+1)/2*G602*L598^3*(1-(K598/L598)^3.6)/(1-K598/L598)</f>
        <v>22.307766012053108</v>
      </c>
      <c r="I602" s="35">
        <f>I600+H602</f>
        <v>77.40169048241475</v>
      </c>
      <c r="J602" s="35">
        <f>1/(1/I602+K600+1/J600)</f>
        <v>54.10161771087706</v>
      </c>
      <c r="K602" s="35">
        <f>L598-L600</f>
        <v>238.99169954954266</v>
      </c>
      <c r="L602" s="35">
        <f>J602*D602*K602/D600</f>
        <v>129.29837565102144</v>
      </c>
    </row>
    <row r="603" spans="4:12" ht="15.75">
      <c r="D603" s="1" t="s">
        <v>1104</v>
      </c>
      <c r="L603" s="18"/>
    </row>
    <row r="604" spans="4:10" ht="15">
      <c r="D604" s="3" t="s">
        <v>1006</v>
      </c>
      <c r="E604" s="3" t="s">
        <v>109</v>
      </c>
      <c r="F604" s="3" t="s">
        <v>840</v>
      </c>
      <c r="G604" s="3" t="s">
        <v>1007</v>
      </c>
      <c r="H604" s="3" t="s">
        <v>1008</v>
      </c>
      <c r="I604" s="3" t="s">
        <v>544</v>
      </c>
      <c r="J604" s="3" t="s">
        <v>996</v>
      </c>
    </row>
    <row r="605" spans="4:10" ht="15.75">
      <c r="D605" s="35">
        <f>H620</f>
        <v>816.2482743530727</v>
      </c>
      <c r="E605" s="35">
        <f>E620</f>
        <v>100</v>
      </c>
      <c r="F605" s="35">
        <f>F620</f>
        <v>0.994</v>
      </c>
      <c r="G605" s="35">
        <f>L602*F605</f>
        <v>128.5225853971153</v>
      </c>
      <c r="H605" s="35">
        <f>D605+G605*D600/K596</f>
        <v>828.4947483958343</v>
      </c>
      <c r="I605" s="35">
        <f>3074.3-3.1077*E605-2.3864*10^7*H605^-1.3+22437.3*E605*H605^-1.3+0.0041697*E605^2+4.8476*10^10*H605^-2.6-177649*E605^2*H605^-2.6</f>
        <v>536.3333540841357</v>
      </c>
      <c r="J605" s="35">
        <f>I605+273</f>
        <v>809.3333540841357</v>
      </c>
    </row>
    <row r="606" ht="15">
      <c r="D606" s="1" t="s">
        <v>1009</v>
      </c>
    </row>
    <row r="607" spans="4:10" ht="15.75">
      <c r="D607" s="3" t="s">
        <v>1010</v>
      </c>
      <c r="E607" s="3" t="s">
        <v>706</v>
      </c>
      <c r="F607" s="3" t="s">
        <v>699</v>
      </c>
      <c r="G607" s="7" t="s">
        <v>645</v>
      </c>
      <c r="H607" s="1" t="s">
        <v>695</v>
      </c>
      <c r="I607" s="3" t="s">
        <v>1011</v>
      </c>
      <c r="J607" s="3" t="s">
        <v>1012</v>
      </c>
    </row>
    <row r="608" spans="4:10" ht="15.75">
      <c r="D608" s="35">
        <f>I593</f>
        <v>265.04322878485766</v>
      </c>
      <c r="E608" s="35">
        <f>E593</f>
        <v>1.3130758017492712</v>
      </c>
      <c r="F608" s="35">
        <f>E600</f>
        <v>15.559873469387755</v>
      </c>
      <c r="G608" s="35">
        <f>G593</f>
        <v>0.07269981997125521</v>
      </c>
      <c r="H608" s="35">
        <f>H593</f>
        <v>0.02</v>
      </c>
      <c r="I608" s="35">
        <f>D608-L602/F608</f>
        <v>256.73349696696073</v>
      </c>
      <c r="J608" s="35">
        <f>-17.5+3.51*I608+38.864*E608^-0.5-0.30038*I608*E608^-0.5+0.0044766*I608^2-23.072/E608-0.000058066*I608^2/E608-0.010324*I608^1.9+IF(I608&lt;200,1.6-1.87*I608^0.3+0.2012*E608-21.75*H608+0.302*I608^0.6,-0.19-0.0006295*I608+0.7193*E608^-0.4+41.38*H608-0.4254*I608*E608^-0.4*H608)</f>
        <v>733.27074823645</v>
      </c>
    </row>
    <row r="610" spans="3:12" ht="15.75">
      <c r="C610" s="4">
        <v>5</v>
      </c>
      <c r="E610" s="1" t="s">
        <v>1102</v>
      </c>
      <c r="K610" s="12" t="s">
        <v>984</v>
      </c>
      <c r="L610" s="12" t="s">
        <v>985</v>
      </c>
    </row>
    <row r="611" spans="4:12" ht="15.75">
      <c r="D611" s="1" t="s">
        <v>987</v>
      </c>
      <c r="K611" s="39">
        <f>K596</f>
        <v>167914.56538212864</v>
      </c>
      <c r="L611" s="17">
        <v>0.1171</v>
      </c>
    </row>
    <row r="612" spans="4:12" ht="15">
      <c r="D612" s="3" t="s">
        <v>815</v>
      </c>
      <c r="E612" s="3" t="s">
        <v>988</v>
      </c>
      <c r="F612" s="3" t="s">
        <v>817</v>
      </c>
      <c r="G612" s="3" t="s">
        <v>102</v>
      </c>
      <c r="H612" s="3" t="s">
        <v>647</v>
      </c>
      <c r="I612" s="3" t="s">
        <v>989</v>
      </c>
      <c r="J612" s="3" t="s">
        <v>990</v>
      </c>
      <c r="K612" s="3" t="s">
        <v>991</v>
      </c>
      <c r="L612" s="3" t="s">
        <v>992</v>
      </c>
    </row>
    <row r="613" spans="4:12" ht="15.75">
      <c r="D613" s="35">
        <f aca="true" t="shared" si="47" ref="D613:J613">D598</f>
        <v>0.301</v>
      </c>
      <c r="E613" s="35">
        <f t="shared" si="47"/>
        <v>30.4</v>
      </c>
      <c r="F613" s="35">
        <f t="shared" si="47"/>
        <v>1</v>
      </c>
      <c r="G613" s="35">
        <f t="shared" si="47"/>
        <v>0.17163310965489723</v>
      </c>
      <c r="H613" s="35">
        <f t="shared" si="47"/>
        <v>0.24433292962615244</v>
      </c>
      <c r="I613" s="35">
        <f t="shared" si="47"/>
        <v>13.54</v>
      </c>
      <c r="J613" s="35">
        <f t="shared" si="47"/>
        <v>0.64</v>
      </c>
      <c r="K613" s="35">
        <f>L615+(K615+1/J615)*L617*D615/D617</f>
        <v>839.5557840009785</v>
      </c>
      <c r="L613" s="35">
        <f>273+J608</f>
        <v>1006.27074823645</v>
      </c>
    </row>
    <row r="614" spans="4:12" ht="15">
      <c r="D614" s="3" t="s">
        <v>835</v>
      </c>
      <c r="E614" s="3" t="s">
        <v>699</v>
      </c>
      <c r="F614" s="3" t="s">
        <v>544</v>
      </c>
      <c r="G614" s="3" t="s">
        <v>209</v>
      </c>
      <c r="H614" s="3" t="s">
        <v>206</v>
      </c>
      <c r="I614" s="3" t="s">
        <v>993</v>
      </c>
      <c r="J614" s="3" t="s">
        <v>994</v>
      </c>
      <c r="K614" s="3" t="s">
        <v>995</v>
      </c>
      <c r="L614" s="3" t="s">
        <v>996</v>
      </c>
    </row>
    <row r="615" spans="4:12" ht="15.75">
      <c r="D615" s="35">
        <f>D600</f>
        <v>16000</v>
      </c>
      <c r="E615" s="35">
        <f>E600</f>
        <v>15.559873469387755</v>
      </c>
      <c r="F615" s="35">
        <f>L613-273</f>
        <v>733.27074823645</v>
      </c>
      <c r="G615" s="35">
        <f>D615*E615/(3600*E613)*(F615+273)/273</f>
        <v>8.384982498182048</v>
      </c>
      <c r="H615" s="35">
        <f>1.1077-0.002944*F615^0.7+0.67936*G613+0.0050854*F615^0.7*G613+0.0000089737*F615^1.4-2.4659*G613^2-0.000046377*F615^1.4*G613^2+23.168*F615^-0.1*G613^4</f>
        <v>1.0303005243008763</v>
      </c>
      <c r="I615" s="35">
        <f>I613*H615*G615^J613</f>
        <v>54.403140145130884</v>
      </c>
      <c r="J615" s="35">
        <f>L611*K611^0.8</f>
        <v>1772.6687587714298</v>
      </c>
      <c r="K615" s="35">
        <f>K600</f>
        <v>0.005</v>
      </c>
      <c r="L615" s="35">
        <f>273+K542</f>
        <v>769.5364511918815</v>
      </c>
    </row>
    <row r="616" spans="4:12" ht="15">
      <c r="D616" s="3" t="s">
        <v>997</v>
      </c>
      <c r="E616" s="3" t="s">
        <v>820</v>
      </c>
      <c r="F616" s="3" t="s">
        <v>998</v>
      </c>
      <c r="G616" s="3" t="s">
        <v>999</v>
      </c>
      <c r="H616" s="3" t="s">
        <v>1000</v>
      </c>
      <c r="I616" s="3" t="s">
        <v>1001</v>
      </c>
      <c r="J616" s="3" t="s">
        <v>1002</v>
      </c>
      <c r="K616" s="3" t="s">
        <v>1003</v>
      </c>
      <c r="L616" s="3" t="s">
        <v>1004</v>
      </c>
    </row>
    <row r="617" spans="4:12" ht="15.75">
      <c r="D617" s="35">
        <f>D602</f>
        <v>160</v>
      </c>
      <c r="E617" s="35">
        <f>((0.78+1.6*G613)/(F613*H613*D613)^0.5-0.1)*(1-0.37*L613/1000)</f>
        <v>2.3781715992053125</v>
      </c>
      <c r="F617" s="35">
        <f>E617*H613</f>
        <v>0.5810656339875461</v>
      </c>
      <c r="G617" s="35">
        <f>1-EXP(-F617*F613*D613)</f>
        <v>0.16045966388151378</v>
      </c>
      <c r="H617" s="35">
        <f>0.000000049*(0.82+1)/2*G617*L613^3*(1-(K613/L613)^3.6)/(1-K613/L613)</f>
        <v>21.079451751505026</v>
      </c>
      <c r="I617" s="35">
        <f>I615+H617</f>
        <v>75.48259189663591</v>
      </c>
      <c r="J617" s="35">
        <f>1/(1/I617+K615+1/J615)</f>
        <v>53.1569686587458</v>
      </c>
      <c r="K617" s="35">
        <f>L613-L615</f>
        <v>236.7342970445685</v>
      </c>
      <c r="L617" s="35">
        <f>J617*D617*K617/D615</f>
        <v>125.84077608448344</v>
      </c>
    </row>
    <row r="618" spans="4:12" ht="15.75">
      <c r="D618" s="1" t="s">
        <v>1104</v>
      </c>
      <c r="L618" s="18"/>
    </row>
    <row r="619" spans="4:10" ht="15">
      <c r="D619" s="3" t="s">
        <v>1006</v>
      </c>
      <c r="E619" s="3" t="s">
        <v>109</v>
      </c>
      <c r="F619" s="3" t="s">
        <v>840</v>
      </c>
      <c r="G619" s="3" t="s">
        <v>1007</v>
      </c>
      <c r="H619" s="3" t="s">
        <v>1008</v>
      </c>
      <c r="I619" s="3" t="s">
        <v>544</v>
      </c>
      <c r="J619" s="3" t="s">
        <v>996</v>
      </c>
    </row>
    <row r="620" spans="4:10" ht="15.75">
      <c r="D620" s="35">
        <f>J542</f>
        <v>804.329286275457</v>
      </c>
      <c r="E620" s="4">
        <v>100</v>
      </c>
      <c r="F620" s="4">
        <v>0.994</v>
      </c>
      <c r="G620" s="35">
        <f>L617*F620</f>
        <v>125.08573142797654</v>
      </c>
      <c r="H620" s="35">
        <f>D620+G620*D615/K611</f>
        <v>816.2482743530727</v>
      </c>
      <c r="I620" s="35">
        <f>3074.3-3.1077*E620-2.3864*10^7*H620^-1.3+22437.3*E620*H620^-1.3+0.0041697*E620^2+4.8476*10^10*H620^-2.6-177649*E620^2*H620^-2.6</f>
        <v>516.0394202808408</v>
      </c>
      <c r="J620" s="35">
        <f>I620+273</f>
        <v>789.0394202808408</v>
      </c>
    </row>
    <row r="621" ht="15">
      <c r="D621" s="1" t="s">
        <v>1009</v>
      </c>
    </row>
    <row r="622" spans="4:10" ht="15.75">
      <c r="D622" s="3" t="s">
        <v>1010</v>
      </c>
      <c r="E622" s="3" t="s">
        <v>706</v>
      </c>
      <c r="F622" s="3" t="s">
        <v>699</v>
      </c>
      <c r="G622" s="7" t="s">
        <v>645</v>
      </c>
      <c r="H622" s="1" t="s">
        <v>695</v>
      </c>
      <c r="I622" s="3" t="s">
        <v>1011</v>
      </c>
      <c r="J622" s="3" t="s">
        <v>1012</v>
      </c>
    </row>
    <row r="623" spans="4:10" ht="15.75">
      <c r="D623" s="35">
        <f>I608</f>
        <v>256.73349696696073</v>
      </c>
      <c r="E623" s="35">
        <f>E608</f>
        <v>1.3130758017492712</v>
      </c>
      <c r="F623" s="35">
        <f>E615</f>
        <v>15.559873469387755</v>
      </c>
      <c r="G623" s="35">
        <f>G608</f>
        <v>0.07269981997125521</v>
      </c>
      <c r="H623" s="35">
        <f>H608</f>
        <v>0.02</v>
      </c>
      <c r="I623" s="35">
        <f>D623-L617/F623</f>
        <v>248.64597772510695</v>
      </c>
      <c r="J623" s="35">
        <f>-17.5+3.51*I623+38.864*E623^-0.5-0.30038*I623*E623^-0.5+0.0044766*I623^2-23.072/E623-0.000058066*I623^2/E623-0.010324*I623^1.9+IF(I623&lt;200,1.6-1.87*I623^0.3+0.2012*E623-21.75*H623+0.302*I623^0.6,-0.19-0.0006295*I623+0.7193*E623^-0.4+41.38*H623-0.4254*I623*E623^-0.4*H623)</f>
        <v>712.0079522065175</v>
      </c>
    </row>
    <row r="624" spans="5:10" ht="15">
      <c r="E624" s="24" t="s">
        <v>1107</v>
      </c>
      <c r="F624" s="24"/>
      <c r="G624" s="24"/>
      <c r="H624" s="24"/>
      <c r="I624" s="24"/>
      <c r="J624" s="24"/>
    </row>
    <row r="626" spans="2:12" ht="15">
      <c r="B626" s="2" t="s">
        <v>1108</v>
      </c>
      <c r="C626" s="24" t="s">
        <v>9</v>
      </c>
      <c r="D626" s="24"/>
      <c r="E626" s="24"/>
      <c r="F626" s="24"/>
      <c r="G626" s="24"/>
      <c r="H626" s="24"/>
      <c r="I626" s="24"/>
      <c r="J626" s="24"/>
      <c r="K626" s="24"/>
      <c r="L626" s="24"/>
    </row>
    <row r="627" ht="15">
      <c r="E627" s="1" t="s">
        <v>10</v>
      </c>
    </row>
    <row r="628" spans="5:12" ht="15.75">
      <c r="E628" s="7" t="s">
        <v>984</v>
      </c>
      <c r="F628" s="3" t="s">
        <v>109</v>
      </c>
      <c r="G628" s="7" t="s">
        <v>1008</v>
      </c>
      <c r="H628" s="7" t="s">
        <v>1075</v>
      </c>
      <c r="I628" s="2" t="s">
        <v>11</v>
      </c>
      <c r="J628" s="25" t="s">
        <v>12</v>
      </c>
      <c r="K628" s="3" t="s">
        <v>835</v>
      </c>
      <c r="L628" s="3" t="s">
        <v>1048</v>
      </c>
    </row>
    <row r="629" spans="5:12" ht="15.75">
      <c r="E629" s="4">
        <v>200000</v>
      </c>
      <c r="F629" s="4">
        <v>100</v>
      </c>
      <c r="G629" s="4">
        <v>776.6110454903356</v>
      </c>
      <c r="H629" s="4">
        <v>452.49613781588243</v>
      </c>
      <c r="J629" s="25">
        <v>2</v>
      </c>
      <c r="K629" s="4">
        <v>16000</v>
      </c>
      <c r="L629" s="7">
        <v>1</v>
      </c>
    </row>
    <row r="630" ht="15">
      <c r="E630" s="1" t="s">
        <v>13</v>
      </c>
    </row>
    <row r="631" spans="4:12" ht="15.75">
      <c r="D631" s="7" t="s">
        <v>699</v>
      </c>
      <c r="E631" s="7" t="s">
        <v>645</v>
      </c>
      <c r="F631" s="7" t="s">
        <v>644</v>
      </c>
      <c r="G631" s="7" t="s">
        <v>102</v>
      </c>
      <c r="H631" s="7" t="s">
        <v>646</v>
      </c>
      <c r="I631" s="1" t="s">
        <v>695</v>
      </c>
      <c r="J631" s="3" t="s">
        <v>706</v>
      </c>
      <c r="K631" s="7" t="s">
        <v>1011</v>
      </c>
      <c r="L631" s="7" t="s">
        <v>1012</v>
      </c>
    </row>
    <row r="632" spans="4:12" ht="15">
      <c r="D632" s="4">
        <v>15.559873469387755</v>
      </c>
      <c r="E632" s="4">
        <v>0.07269981997125521</v>
      </c>
      <c r="F632" s="4">
        <v>0.7120340712072314</v>
      </c>
      <c r="G632" s="4">
        <v>0.17163310965489723</v>
      </c>
      <c r="H632" s="4">
        <v>0.04500505271408481</v>
      </c>
      <c r="I632" s="4">
        <v>0.02</v>
      </c>
      <c r="J632" s="4">
        <v>1.3130758017492712</v>
      </c>
      <c r="K632" s="4">
        <v>284.3240737462495</v>
      </c>
      <c r="L632" s="4">
        <v>805.1949934232352</v>
      </c>
    </row>
    <row r="634" spans="3:12" ht="15.75">
      <c r="C634" s="4">
        <v>1</v>
      </c>
      <c r="E634" s="1" t="s">
        <v>1102</v>
      </c>
      <c r="I634" s="5" t="s">
        <v>12</v>
      </c>
      <c r="J634" s="40">
        <f>J629</f>
        <v>2</v>
      </c>
      <c r="K634" s="12" t="s">
        <v>984</v>
      </c>
      <c r="L634" s="12" t="s">
        <v>985</v>
      </c>
    </row>
    <row r="635" spans="4:12" ht="15.75">
      <c r="D635" s="1" t="s">
        <v>987</v>
      </c>
      <c r="K635" s="39">
        <f>E629</f>
        <v>200000</v>
      </c>
      <c r="L635" s="17">
        <v>0.1171</v>
      </c>
    </row>
    <row r="636" spans="4:12" ht="15">
      <c r="D636" s="3" t="s">
        <v>815</v>
      </c>
      <c r="E636" s="3" t="s">
        <v>988</v>
      </c>
      <c r="F636" s="3" t="s">
        <v>817</v>
      </c>
      <c r="G636" s="3" t="s">
        <v>102</v>
      </c>
      <c r="H636" s="3" t="s">
        <v>647</v>
      </c>
      <c r="I636" s="3" t="s">
        <v>989</v>
      </c>
      <c r="J636" s="3" t="s">
        <v>990</v>
      </c>
      <c r="K636" s="3" t="s">
        <v>991</v>
      </c>
      <c r="L636" s="3" t="s">
        <v>992</v>
      </c>
    </row>
    <row r="637" spans="4:12" ht="15.75">
      <c r="D637" s="4">
        <v>0.301</v>
      </c>
      <c r="E637" s="4">
        <v>30.4</v>
      </c>
      <c r="F637" s="35">
        <f>L629</f>
        <v>1</v>
      </c>
      <c r="G637" s="35">
        <f>G632</f>
        <v>0.17163310965489723</v>
      </c>
      <c r="H637" s="35">
        <f>G637+E632</f>
        <v>0.24433292962615244</v>
      </c>
      <c r="I637" s="4">
        <v>13.54</v>
      </c>
      <c r="J637" s="4">
        <v>0.64</v>
      </c>
      <c r="K637" s="35">
        <f>L639+(K639+1/J639)*L641*D639/D641</f>
        <v>884.1555496862621</v>
      </c>
      <c r="L637" s="35">
        <f>273+L632</f>
        <v>1078.1949934232352</v>
      </c>
    </row>
    <row r="638" spans="4:12" ht="15">
      <c r="D638" s="3" t="s">
        <v>835</v>
      </c>
      <c r="E638" s="3" t="s">
        <v>699</v>
      </c>
      <c r="F638" s="3" t="s">
        <v>544</v>
      </c>
      <c r="G638" s="3" t="s">
        <v>209</v>
      </c>
      <c r="H638" s="3" t="s">
        <v>206</v>
      </c>
      <c r="I638" s="3" t="s">
        <v>993</v>
      </c>
      <c r="J638" s="3" t="s">
        <v>994</v>
      </c>
      <c r="K638" s="3" t="s">
        <v>995</v>
      </c>
      <c r="L638" s="3" t="s">
        <v>996</v>
      </c>
    </row>
    <row r="639" spans="4:12" ht="15.75">
      <c r="D639" s="35">
        <f>K629</f>
        <v>16000</v>
      </c>
      <c r="E639" s="35">
        <f>D632</f>
        <v>15.559873469387755</v>
      </c>
      <c r="F639" s="35">
        <f>L637-273</f>
        <v>805.1949934232352</v>
      </c>
      <c r="G639" s="35">
        <f>D639*E639/(3600*E637)*(F639+273)/273</f>
        <v>8.984307817081646</v>
      </c>
      <c r="H639" s="35">
        <f>1.1077-0.002944*F639^0.7+0.67936*G637+0.0050854*F639^0.7*G637+0.0000089737*F639^1.4-2.4659*G637^2-0.000046377*F639^1.4*G637^2+23.168*F639^-0.1*G637^4</f>
        <v>1.0269292327556407</v>
      </c>
      <c r="I639" s="35">
        <f>I637*H639*G639^J637</f>
        <v>56.674714352067525</v>
      </c>
      <c r="J639" s="35">
        <f>L635*K635^0.8</f>
        <v>2038.8294192395244</v>
      </c>
      <c r="K639" s="4">
        <v>0.005</v>
      </c>
      <c r="L639" s="35">
        <f>IF(J634=1,273+H629,J659)</f>
        <v>797.7319446138914</v>
      </c>
    </row>
    <row r="640" spans="4:12" ht="15">
      <c r="D640" s="3" t="s">
        <v>997</v>
      </c>
      <c r="E640" s="3" t="s">
        <v>820</v>
      </c>
      <c r="F640" s="3" t="s">
        <v>998</v>
      </c>
      <c r="G640" s="3" t="s">
        <v>999</v>
      </c>
      <c r="H640" s="3" t="s">
        <v>1000</v>
      </c>
      <c r="I640" s="3" t="s">
        <v>1001</v>
      </c>
      <c r="J640" s="3" t="s">
        <v>1002</v>
      </c>
      <c r="K640" s="3" t="s">
        <v>1003</v>
      </c>
      <c r="L640" s="3" t="s">
        <v>1004</v>
      </c>
    </row>
    <row r="641" spans="4:12" ht="15.75">
      <c r="D641" s="35">
        <f>1600/10</f>
        <v>160</v>
      </c>
      <c r="E641" s="35">
        <f>((0.78+1.6*G637)/(F637*H637*D637)^0.5-0.1)*(1-0.37*L637/1000)</f>
        <v>2.277343389298532</v>
      </c>
      <c r="F641" s="35">
        <f>E641*H637</f>
        <v>0.5564299820720617</v>
      </c>
      <c r="G641" s="35">
        <f>1-EXP(-F641*F637*D637)</f>
        <v>0.1542110550919299</v>
      </c>
      <c r="H641" s="35">
        <f>0.000000049*(0.82+1)/2*G641*L637^3*(1-(K637/L637)^3.6)/(1-K637/L637)</f>
        <v>24.44608840848325</v>
      </c>
      <c r="I641" s="35">
        <f>I639+H641</f>
        <v>81.12080276055077</v>
      </c>
      <c r="J641" s="35">
        <f>1/(1/I641+K639+1/J639)</f>
        <v>56.12374075650273</v>
      </c>
      <c r="K641" s="35">
        <f>L637-L639</f>
        <v>280.46304880934383</v>
      </c>
      <c r="L641" s="35">
        <f>J641*D641*K641/D639</f>
        <v>157.40635443153985</v>
      </c>
    </row>
    <row r="642" spans="4:12" ht="15.75">
      <c r="D642" s="1" t="s">
        <v>1104</v>
      </c>
      <c r="L642" s="18"/>
    </row>
    <row r="643" spans="4:10" ht="15">
      <c r="D643" s="3" t="s">
        <v>1006</v>
      </c>
      <c r="E643" s="3" t="s">
        <v>109</v>
      </c>
      <c r="F643" s="3" t="s">
        <v>840</v>
      </c>
      <c r="G643" s="3" t="s">
        <v>1007</v>
      </c>
      <c r="H643" s="3" t="s">
        <v>1008</v>
      </c>
      <c r="I643" s="3" t="s">
        <v>544</v>
      </c>
      <c r="J643" s="3" t="s">
        <v>996</v>
      </c>
    </row>
    <row r="644" spans="4:10" ht="15.75">
      <c r="D644" s="35">
        <f>IF(J634=1,G629,H659)</f>
        <v>821.5107419260628</v>
      </c>
      <c r="E644" s="35">
        <f>E659</f>
        <v>100</v>
      </c>
      <c r="F644" s="35">
        <f>F659</f>
        <v>0.994</v>
      </c>
      <c r="G644" s="35">
        <f>L641*F644</f>
        <v>156.46191630495062</v>
      </c>
      <c r="H644" s="35">
        <f>D644+G644*D639/K635</f>
        <v>834.0276952304588</v>
      </c>
      <c r="I644" s="35">
        <f>3074.3-3.1077*E644-2.3864*10^7*H644^-1.3+22437.3*E644*H644^-1.3+0.0041697*E644^2+4.8476*10^10*H644^-2.6-177649*E644^2*H644^-2.6</f>
        <v>545.5705891264703</v>
      </c>
      <c r="J644" s="35">
        <f>I644+273</f>
        <v>818.5705891264703</v>
      </c>
    </row>
    <row r="645" ht="15">
      <c r="D645" s="1" t="s">
        <v>1009</v>
      </c>
    </row>
    <row r="646" spans="4:10" ht="15.75">
      <c r="D646" s="3" t="s">
        <v>1010</v>
      </c>
      <c r="E646" s="3" t="s">
        <v>706</v>
      </c>
      <c r="F646" s="3" t="s">
        <v>699</v>
      </c>
      <c r="G646" s="7" t="s">
        <v>645</v>
      </c>
      <c r="H646" s="1" t="s">
        <v>695</v>
      </c>
      <c r="I646" s="3" t="s">
        <v>1011</v>
      </c>
      <c r="J646" s="3" t="s">
        <v>1012</v>
      </c>
    </row>
    <row r="647" spans="4:10" ht="15.75">
      <c r="D647" s="35">
        <f>K632</f>
        <v>284.3240737462495</v>
      </c>
      <c r="E647" s="35">
        <f>J632</f>
        <v>1.3130758017492712</v>
      </c>
      <c r="F647" s="35">
        <f>E639</f>
        <v>15.559873469387755</v>
      </c>
      <c r="G647" s="35">
        <f>E632</f>
        <v>0.07269981997125521</v>
      </c>
      <c r="H647" s="35">
        <f>I632</f>
        <v>0.02</v>
      </c>
      <c r="I647" s="35">
        <f>D647-L641/F647</f>
        <v>274.2079018672674</v>
      </c>
      <c r="J647" s="35">
        <f>-17.5+3.51*I647+38.864*E647^-0.5-0.30038*I647*E647^-0.5+0.0044766*I647^2-23.072/E647-0.000058066*I647^2/E647-0.010324*I647^1.9+IF(I647&lt;200,1.6-1.87*I647^0.3+0.2012*E647-21.75*H647+0.302*I647^0.6,-0.19-0.0006295*I647+0.7193*E647^-0.4+41.38*H647-0.4254*I647*E647^-0.4*H647)</f>
        <v>778.931105559174</v>
      </c>
    </row>
    <row r="649" spans="3:12" ht="15.75">
      <c r="C649" s="4">
        <v>2</v>
      </c>
      <c r="E649" s="1" t="s">
        <v>1102</v>
      </c>
      <c r="I649" s="5" t="s">
        <v>12</v>
      </c>
      <c r="J649" s="40">
        <f>J634</f>
        <v>2</v>
      </c>
      <c r="K649" s="12" t="s">
        <v>984</v>
      </c>
      <c r="L649" s="12" t="s">
        <v>985</v>
      </c>
    </row>
    <row r="650" spans="4:12" ht="15.75">
      <c r="D650" s="1" t="s">
        <v>987</v>
      </c>
      <c r="K650" s="39">
        <f>K635</f>
        <v>200000</v>
      </c>
      <c r="L650" s="17">
        <v>0.1171</v>
      </c>
    </row>
    <row r="651" spans="4:12" ht="15">
      <c r="D651" s="3" t="s">
        <v>815</v>
      </c>
      <c r="E651" s="3" t="s">
        <v>988</v>
      </c>
      <c r="F651" s="3" t="s">
        <v>817</v>
      </c>
      <c r="G651" s="3" t="s">
        <v>102</v>
      </c>
      <c r="H651" s="3" t="s">
        <v>647</v>
      </c>
      <c r="I651" s="3" t="s">
        <v>989</v>
      </c>
      <c r="J651" s="3" t="s">
        <v>990</v>
      </c>
      <c r="K651" s="3" t="s">
        <v>991</v>
      </c>
      <c r="L651" s="3" t="s">
        <v>992</v>
      </c>
    </row>
    <row r="652" spans="4:12" ht="15.75">
      <c r="D652" s="35">
        <f aca="true" t="shared" si="48" ref="D652:J652">D637</f>
        <v>0.301</v>
      </c>
      <c r="E652" s="35">
        <f t="shared" si="48"/>
        <v>30.4</v>
      </c>
      <c r="F652" s="35">
        <f t="shared" si="48"/>
        <v>1</v>
      </c>
      <c r="G652" s="35">
        <f t="shared" si="48"/>
        <v>0.17163310965489723</v>
      </c>
      <c r="H652" s="35">
        <f t="shared" si="48"/>
        <v>0.24433292962615244</v>
      </c>
      <c r="I652" s="35">
        <f t="shared" si="48"/>
        <v>13.54</v>
      </c>
      <c r="J652" s="35">
        <f t="shared" si="48"/>
        <v>0.64</v>
      </c>
      <c r="K652" s="35">
        <f>L654+(K654+1/J654)*L656*D654/D656</f>
        <v>860.7539573153645</v>
      </c>
      <c r="L652" s="35">
        <f>273+J647</f>
        <v>1051.9311055591738</v>
      </c>
    </row>
    <row r="653" spans="4:12" ht="15">
      <c r="D653" s="3" t="s">
        <v>835</v>
      </c>
      <c r="E653" s="3" t="s">
        <v>699</v>
      </c>
      <c r="F653" s="3" t="s">
        <v>544</v>
      </c>
      <c r="G653" s="3" t="s">
        <v>209</v>
      </c>
      <c r="H653" s="3" t="s">
        <v>206</v>
      </c>
      <c r="I653" s="3" t="s">
        <v>993</v>
      </c>
      <c r="J653" s="3" t="s">
        <v>994</v>
      </c>
      <c r="K653" s="3" t="s">
        <v>995</v>
      </c>
      <c r="L653" s="3" t="s">
        <v>996</v>
      </c>
    </row>
    <row r="654" spans="4:12" ht="15.75">
      <c r="D654" s="35">
        <f>D639</f>
        <v>16000</v>
      </c>
      <c r="E654" s="35">
        <f>E639</f>
        <v>15.559873469387755</v>
      </c>
      <c r="F654" s="35">
        <f>L652-273</f>
        <v>778.9311055591738</v>
      </c>
      <c r="G654" s="35">
        <f>D654*E654/(3600*E652)*(F654+273)/273</f>
        <v>8.76545792955354</v>
      </c>
      <c r="H654" s="35">
        <f>1.1077-0.002944*F654^0.7+0.67936*G652+0.0050854*F654^0.7*G652+0.0000089737*F654^1.4-2.4659*G652^2-0.000046377*F654^1.4*G652^2+23.168*F654^-0.1*G652^4</f>
        <v>1.0280659217915415</v>
      </c>
      <c r="I654" s="35">
        <f>I652*H654*G654^J652</f>
        <v>55.84899700126315</v>
      </c>
      <c r="J654" s="35">
        <f>L650*K650^0.8</f>
        <v>2038.8294192395244</v>
      </c>
      <c r="K654" s="35">
        <f>K639</f>
        <v>0.005</v>
      </c>
      <c r="L654" s="35">
        <f>IF(J649=1,J644,J674)</f>
        <v>778.0059844153062</v>
      </c>
    </row>
    <row r="655" spans="4:12" ht="15">
      <c r="D655" s="3" t="s">
        <v>997</v>
      </c>
      <c r="E655" s="3" t="s">
        <v>820</v>
      </c>
      <c r="F655" s="3" t="s">
        <v>998</v>
      </c>
      <c r="G655" s="3" t="s">
        <v>999</v>
      </c>
      <c r="H655" s="3" t="s">
        <v>1000</v>
      </c>
      <c r="I655" s="3" t="s">
        <v>1001</v>
      </c>
      <c r="J655" s="3" t="s">
        <v>1002</v>
      </c>
      <c r="K655" s="3" t="s">
        <v>1003</v>
      </c>
      <c r="L655" s="3" t="s">
        <v>1004</v>
      </c>
    </row>
    <row r="656" spans="4:12" ht="15.75">
      <c r="D656" s="35">
        <f>D641</f>
        <v>160</v>
      </c>
      <c r="E656" s="35">
        <f>((0.78+1.6*G652)/(F652*H652*D652)^0.5-0.1)*(1-0.37*L652/1000)</f>
        <v>2.31416186117333</v>
      </c>
      <c r="F656" s="35">
        <f>E656*H652</f>
        <v>0.5654259471695892</v>
      </c>
      <c r="G656" s="35">
        <f>1-EXP(-F656*F652*D652)</f>
        <v>0.15649817221949958</v>
      </c>
      <c r="H656" s="35">
        <f>0.000000049*(0.82+1)/2*G656*L652^3*(1-(K652/L652)^3.6)/(1-K652/L652)</f>
        <v>22.98458616555955</v>
      </c>
      <c r="I656" s="35">
        <f>I654+H656</f>
        <v>78.8335831668227</v>
      </c>
      <c r="J656" s="35">
        <f>1/(1/I656+K654+1/J654)</f>
        <v>55.01934087950566</v>
      </c>
      <c r="K656" s="35">
        <f>L652-L654</f>
        <v>273.9251211438676</v>
      </c>
      <c r="L656" s="35">
        <f>J656*D656*K656/D654</f>
        <v>150.71179615674336</v>
      </c>
    </row>
    <row r="657" spans="4:12" ht="15.75">
      <c r="D657" s="1" t="s">
        <v>1104</v>
      </c>
      <c r="L657" s="18"/>
    </row>
    <row r="658" spans="4:10" ht="15">
      <c r="D658" s="3" t="s">
        <v>1006</v>
      </c>
      <c r="E658" s="3" t="s">
        <v>109</v>
      </c>
      <c r="F658" s="3" t="s">
        <v>840</v>
      </c>
      <c r="G658" s="3" t="s">
        <v>1007</v>
      </c>
      <c r="H658" s="3" t="s">
        <v>1008</v>
      </c>
      <c r="I658" s="3" t="s">
        <v>544</v>
      </c>
      <c r="J658" s="3" t="s">
        <v>996</v>
      </c>
    </row>
    <row r="659" spans="4:10" ht="15.75">
      <c r="D659" s="35">
        <f>IF(J649=1,H644,H674)</f>
        <v>809.5261398956785</v>
      </c>
      <c r="E659" s="35">
        <f>E674</f>
        <v>100</v>
      </c>
      <c r="F659" s="35">
        <f>F674</f>
        <v>0.994</v>
      </c>
      <c r="G659" s="35">
        <f>L656*F659</f>
        <v>149.8075253798029</v>
      </c>
      <c r="H659" s="35">
        <f>D659+G659*D654/K650</f>
        <v>821.5107419260628</v>
      </c>
      <c r="I659" s="35">
        <f>3074.3-3.1077*E659-2.3864*10^7*H659^-1.3+22437.3*E659*H659^-1.3+0.0041697*E659^2+4.8476*10^10*H659^-2.6-177649*E659^2*H659^-2.6</f>
        <v>524.7319446138914</v>
      </c>
      <c r="J659" s="35">
        <f>I659+273</f>
        <v>797.7319446138914</v>
      </c>
    </row>
    <row r="660" ht="15">
      <c r="D660" s="1" t="s">
        <v>1009</v>
      </c>
    </row>
    <row r="661" spans="4:10" ht="15.75">
      <c r="D661" s="3" t="s">
        <v>1010</v>
      </c>
      <c r="E661" s="3" t="s">
        <v>706</v>
      </c>
      <c r="F661" s="3" t="s">
        <v>699</v>
      </c>
      <c r="G661" s="7" t="s">
        <v>645</v>
      </c>
      <c r="H661" s="1" t="s">
        <v>695</v>
      </c>
      <c r="I661" s="3" t="s">
        <v>1011</v>
      </c>
      <c r="J661" s="3" t="s">
        <v>1012</v>
      </c>
    </row>
    <row r="662" spans="4:10" ht="15.75">
      <c r="D662" s="35">
        <f>I647</f>
        <v>274.2079018672674</v>
      </c>
      <c r="E662" s="35">
        <f>E647</f>
        <v>1.3130758017492712</v>
      </c>
      <c r="F662" s="35">
        <f>E654</f>
        <v>15.559873469387755</v>
      </c>
      <c r="G662" s="35">
        <f>G647</f>
        <v>0.07269981997125521</v>
      </c>
      <c r="H662" s="35">
        <f>H647</f>
        <v>0.02</v>
      </c>
      <c r="I662" s="35">
        <f>D662-L656/F662</f>
        <v>264.52197502131645</v>
      </c>
      <c r="J662" s="35">
        <f>-17.5+3.51*I662+38.864*E662^-0.5-0.30038*I662*E662^-0.5+0.0044766*I662^2-23.072/E662-0.000058066*I662^2/E662-0.010324*I662^1.9+IF(I662&lt;200,1.6-1.87*I662^0.3+0.2012*E662-21.75*H662+0.302*I662^0.6,-0.19-0.0006295*I662+0.7193*E662^-0.4+41.38*H662-0.4254*I662*E662^-0.4*H662)</f>
        <v>753.6686722725132</v>
      </c>
    </row>
    <row r="664" spans="3:12" ht="15.75">
      <c r="C664" s="4">
        <v>3</v>
      </c>
      <c r="E664" s="1" t="s">
        <v>1102</v>
      </c>
      <c r="I664" s="5" t="s">
        <v>12</v>
      </c>
      <c r="J664" s="40">
        <f>J649</f>
        <v>2</v>
      </c>
      <c r="K664" s="12" t="s">
        <v>984</v>
      </c>
      <c r="L664" s="12" t="s">
        <v>985</v>
      </c>
    </row>
    <row r="665" spans="4:12" ht="15.75">
      <c r="D665" s="1" t="s">
        <v>987</v>
      </c>
      <c r="K665" s="39">
        <f>K650</f>
        <v>200000</v>
      </c>
      <c r="L665" s="17">
        <v>0.1171</v>
      </c>
    </row>
    <row r="666" spans="4:12" ht="15">
      <c r="D666" s="3" t="s">
        <v>815</v>
      </c>
      <c r="E666" s="3" t="s">
        <v>988</v>
      </c>
      <c r="F666" s="3" t="s">
        <v>817</v>
      </c>
      <c r="G666" s="3" t="s">
        <v>102</v>
      </c>
      <c r="H666" s="3" t="s">
        <v>647</v>
      </c>
      <c r="I666" s="3" t="s">
        <v>989</v>
      </c>
      <c r="J666" s="3" t="s">
        <v>990</v>
      </c>
      <c r="K666" s="3" t="s">
        <v>991</v>
      </c>
      <c r="L666" s="3" t="s">
        <v>992</v>
      </c>
    </row>
    <row r="667" spans="4:12" ht="15.75">
      <c r="D667" s="35">
        <f aca="true" t="shared" si="49" ref="D667:J667">D652</f>
        <v>0.301</v>
      </c>
      <c r="E667" s="35">
        <f t="shared" si="49"/>
        <v>30.4</v>
      </c>
      <c r="F667" s="35">
        <f t="shared" si="49"/>
        <v>1</v>
      </c>
      <c r="G667" s="35">
        <f t="shared" si="49"/>
        <v>0.17163310965489723</v>
      </c>
      <c r="H667" s="35">
        <f t="shared" si="49"/>
        <v>0.24433292962615244</v>
      </c>
      <c r="I667" s="35">
        <f t="shared" si="49"/>
        <v>13.54</v>
      </c>
      <c r="J667" s="35">
        <f t="shared" si="49"/>
        <v>0.64</v>
      </c>
      <c r="K667" s="35">
        <f>L669+(K669+1/J669)*L671*D669/D671</f>
        <v>838.5776589022638</v>
      </c>
      <c r="L667" s="35">
        <f>273+J662</f>
        <v>1026.668672272513</v>
      </c>
    </row>
    <row r="668" spans="4:12" ht="15">
      <c r="D668" s="3" t="s">
        <v>835</v>
      </c>
      <c r="E668" s="3" t="s">
        <v>699</v>
      </c>
      <c r="F668" s="3" t="s">
        <v>544</v>
      </c>
      <c r="G668" s="3" t="s">
        <v>209</v>
      </c>
      <c r="H668" s="3" t="s">
        <v>206</v>
      </c>
      <c r="I668" s="3" t="s">
        <v>993</v>
      </c>
      <c r="J668" s="3" t="s">
        <v>994</v>
      </c>
      <c r="K668" s="3" t="s">
        <v>995</v>
      </c>
      <c r="L668" s="3" t="s">
        <v>996</v>
      </c>
    </row>
    <row r="669" spans="4:12" ht="15.75">
      <c r="D669" s="35">
        <f>D654</f>
        <v>16000</v>
      </c>
      <c r="E669" s="35">
        <f>E654</f>
        <v>15.559873469387755</v>
      </c>
      <c r="F669" s="35">
        <f>L667-273</f>
        <v>753.668672272513</v>
      </c>
      <c r="G669" s="35">
        <f>D669*E669/(3600*E667)*(F669+273)/273</f>
        <v>8.554952892672185</v>
      </c>
      <c r="H669" s="35">
        <f>1.1077-0.002944*F669^0.7+0.67936*G667+0.0050854*F669^0.7*G667+0.0000089737*F669^1.4-2.4659*G667^2-0.000046377*F669^1.4*G667^2+23.168*F669^-0.1*G667^4</f>
        <v>1.0292608286364526</v>
      </c>
      <c r="I669" s="35">
        <f>I667*H669*G669^J667</f>
        <v>55.050768691471674</v>
      </c>
      <c r="J669" s="35">
        <f>L665*K665^0.8</f>
        <v>2038.8294192395244</v>
      </c>
      <c r="K669" s="35">
        <f>K654</f>
        <v>0.005</v>
      </c>
      <c r="L669" s="35">
        <f>IF(J664=1,J659,J689)</f>
        <v>759.3939386011659</v>
      </c>
    </row>
    <row r="670" spans="4:12" ht="15">
      <c r="D670" s="3" t="s">
        <v>997</v>
      </c>
      <c r="E670" s="3" t="s">
        <v>820</v>
      </c>
      <c r="F670" s="3" t="s">
        <v>998</v>
      </c>
      <c r="G670" s="3" t="s">
        <v>999</v>
      </c>
      <c r="H670" s="3" t="s">
        <v>1000</v>
      </c>
      <c r="I670" s="3" t="s">
        <v>1001</v>
      </c>
      <c r="J670" s="3" t="s">
        <v>1002</v>
      </c>
      <c r="K670" s="3" t="s">
        <v>1003</v>
      </c>
      <c r="L670" s="3" t="s">
        <v>1004</v>
      </c>
    </row>
    <row r="671" spans="4:12" ht="15.75">
      <c r="D671" s="35">
        <f>D656</f>
        <v>160</v>
      </c>
      <c r="E671" s="35">
        <f>((0.78+1.6*G667)/(F667*H667*D667)^0.5-0.1)*(1-0.37*L667/1000)</f>
        <v>2.3495764271457436</v>
      </c>
      <c r="F671" s="35">
        <f>E671*H667</f>
        <v>0.5740788918250677</v>
      </c>
      <c r="G671" s="35">
        <f>1-EXP(-F671*F667*D667)</f>
        <v>0.1586922448726149</v>
      </c>
      <c r="H671" s="35">
        <f>0.000000049*(0.82+1)/2*G671*L667^3*(1-(K667/L667)^3.6)/(1-K667/L667)</f>
        <v>21.624929331421775</v>
      </c>
      <c r="I671" s="35">
        <f>I669+H671</f>
        <v>76.67569802289344</v>
      </c>
      <c r="J671" s="35">
        <f>1/(1/I671+K669+1/J669)</f>
        <v>53.95949532487866</v>
      </c>
      <c r="K671" s="35">
        <f>L667-L669</f>
        <v>267.2747336713471</v>
      </c>
      <c r="L671" s="35">
        <f>J671*D671*K671/D669</f>
        <v>144.22009741997243</v>
      </c>
    </row>
    <row r="672" spans="4:12" ht="15.75">
      <c r="D672" s="1" t="s">
        <v>1104</v>
      </c>
      <c r="L672" s="18"/>
    </row>
    <row r="673" spans="4:10" ht="15">
      <c r="D673" s="3" t="s">
        <v>1006</v>
      </c>
      <c r="E673" s="3" t="s">
        <v>109</v>
      </c>
      <c r="F673" s="3" t="s">
        <v>840</v>
      </c>
      <c r="G673" s="3" t="s">
        <v>1007</v>
      </c>
      <c r="H673" s="3" t="s">
        <v>1008</v>
      </c>
      <c r="I673" s="3" t="s">
        <v>544</v>
      </c>
      <c r="J673" s="3" t="s">
        <v>996</v>
      </c>
    </row>
    <row r="674" spans="4:10" ht="15.75">
      <c r="D674" s="35">
        <f>IF(J664=1,H659,H689)</f>
        <v>798.0577577488423</v>
      </c>
      <c r="E674" s="35">
        <f>E689</f>
        <v>100</v>
      </c>
      <c r="F674" s="35">
        <f>F689</f>
        <v>0.994</v>
      </c>
      <c r="G674" s="35">
        <f>L671*F674</f>
        <v>143.3547768354526</v>
      </c>
      <c r="H674" s="35">
        <f>D674+G674*D669/K665</f>
        <v>809.5261398956785</v>
      </c>
      <c r="I674" s="35">
        <f>3074.3-3.1077*E674-2.3864*10^7*H674^-1.3+22437.3*E674*H674^-1.3+0.0041697*E674^2+4.8476*10^10*H674^-2.6-177649*E674^2*H674^-2.6</f>
        <v>505.0059844153062</v>
      </c>
      <c r="J674" s="35">
        <f>I674+273</f>
        <v>778.0059844153062</v>
      </c>
    </row>
    <row r="675" ht="15">
      <c r="D675" s="1" t="s">
        <v>1009</v>
      </c>
    </row>
    <row r="676" spans="4:10" ht="15.75">
      <c r="D676" s="3" t="s">
        <v>1010</v>
      </c>
      <c r="E676" s="3" t="s">
        <v>706</v>
      </c>
      <c r="F676" s="3" t="s">
        <v>699</v>
      </c>
      <c r="G676" s="7" t="s">
        <v>645</v>
      </c>
      <c r="H676" s="1" t="s">
        <v>695</v>
      </c>
      <c r="I676" s="3" t="s">
        <v>1011</v>
      </c>
      <c r="J676" s="3" t="s">
        <v>1012</v>
      </c>
    </row>
    <row r="677" spans="4:10" ht="15.75">
      <c r="D677" s="35">
        <f>I662</f>
        <v>264.52197502131645</v>
      </c>
      <c r="E677" s="35">
        <f>E662</f>
        <v>1.3130758017492712</v>
      </c>
      <c r="F677" s="35">
        <f>E669</f>
        <v>15.559873469387755</v>
      </c>
      <c r="G677" s="35">
        <f>G662</f>
        <v>0.07269981997125521</v>
      </c>
      <c r="H677" s="35">
        <f>H662</f>
        <v>0.02</v>
      </c>
      <c r="I677" s="35">
        <f>D677-L671/F677</f>
        <v>255.2532558570052</v>
      </c>
      <c r="J677" s="35">
        <f>-17.5+3.51*I677+38.864*E677^-0.5-0.30038*I677*E677^-0.5+0.0044766*I677^2-23.072/E677-0.000058066*I677^2/E677-0.010324*I677^1.9+IF(I677&lt;200,1.6-1.87*I677^0.3+0.2012*E677-21.75*H677+0.302*I677^0.6,-0.19-0.0006295*I677+0.7193*E677^-0.4+41.38*H677-0.4254*I677*E677^-0.4*H677)</f>
        <v>729.3853468666126</v>
      </c>
    </row>
    <row r="679" spans="3:12" ht="15.75">
      <c r="C679" s="4">
        <v>4</v>
      </c>
      <c r="E679" s="1" t="s">
        <v>1102</v>
      </c>
      <c r="I679" s="5" t="s">
        <v>12</v>
      </c>
      <c r="J679" s="40">
        <f>J664</f>
        <v>2</v>
      </c>
      <c r="K679" s="12" t="s">
        <v>984</v>
      </c>
      <c r="L679" s="12" t="s">
        <v>985</v>
      </c>
    </row>
    <row r="680" spans="4:12" ht="15.75">
      <c r="D680" s="1" t="s">
        <v>987</v>
      </c>
      <c r="K680" s="39">
        <f>K665</f>
        <v>200000</v>
      </c>
      <c r="L680" s="17">
        <v>0.1171</v>
      </c>
    </row>
    <row r="681" spans="4:12" ht="15">
      <c r="D681" s="3" t="s">
        <v>815</v>
      </c>
      <c r="E681" s="3" t="s">
        <v>988</v>
      </c>
      <c r="F681" s="3" t="s">
        <v>817</v>
      </c>
      <c r="G681" s="3" t="s">
        <v>102</v>
      </c>
      <c r="H681" s="3" t="s">
        <v>647</v>
      </c>
      <c r="I681" s="3" t="s">
        <v>989</v>
      </c>
      <c r="J681" s="3" t="s">
        <v>990</v>
      </c>
      <c r="K681" s="3" t="s">
        <v>991</v>
      </c>
      <c r="L681" s="3" t="s">
        <v>992</v>
      </c>
    </row>
    <row r="682" spans="4:12" ht="15.75">
      <c r="D682" s="35">
        <f aca="true" t="shared" si="50" ref="D682:J682">D667</f>
        <v>0.301</v>
      </c>
      <c r="E682" s="35">
        <f t="shared" si="50"/>
        <v>30.4</v>
      </c>
      <c r="F682" s="35">
        <f t="shared" si="50"/>
        <v>1</v>
      </c>
      <c r="G682" s="35">
        <f t="shared" si="50"/>
        <v>0.17163310965489723</v>
      </c>
      <c r="H682" s="35">
        <f t="shared" si="50"/>
        <v>0.24433292962615244</v>
      </c>
      <c r="I682" s="35">
        <f t="shared" si="50"/>
        <v>13.54</v>
      </c>
      <c r="J682" s="35">
        <f t="shared" si="50"/>
        <v>0.64</v>
      </c>
      <c r="K682" s="35">
        <f>L684+(K684+1/J684)*L686*D684/D686</f>
        <v>817.6153626891465</v>
      </c>
      <c r="L682" s="35">
        <f>273+J677</f>
        <v>1002.3853468666126</v>
      </c>
    </row>
    <row r="683" spans="4:12" ht="15">
      <c r="D683" s="3" t="s">
        <v>835</v>
      </c>
      <c r="E683" s="3" t="s">
        <v>699</v>
      </c>
      <c r="F683" s="3" t="s">
        <v>544</v>
      </c>
      <c r="G683" s="3" t="s">
        <v>209</v>
      </c>
      <c r="H683" s="3" t="s">
        <v>206</v>
      </c>
      <c r="I683" s="3" t="s">
        <v>993</v>
      </c>
      <c r="J683" s="3" t="s">
        <v>994</v>
      </c>
      <c r="K683" s="3" t="s">
        <v>995</v>
      </c>
      <c r="L683" s="3" t="s">
        <v>996</v>
      </c>
    </row>
    <row r="684" spans="4:12" ht="15.75">
      <c r="D684" s="35">
        <f>D669</f>
        <v>16000</v>
      </c>
      <c r="E684" s="35">
        <f>E669</f>
        <v>15.559873469387755</v>
      </c>
      <c r="F684" s="35">
        <f>L682-273</f>
        <v>729.3853468666126</v>
      </c>
      <c r="G684" s="35">
        <f>D684*E684/(3600*E682)*(F684+273)/273</f>
        <v>8.352606497447061</v>
      </c>
      <c r="H684" s="35">
        <f>1.1077-0.002944*F684^0.7+0.67936*G682+0.0050854*F684^0.7*G682+0.0000089737*F684^1.4-2.4659*G682^2-0.000046377*F684^1.4*G682^2+23.168*F684^-0.1*G682^4</f>
        <v>1.0305063137062325</v>
      </c>
      <c r="I684" s="35">
        <f>I682*H684*G684^J682</f>
        <v>54.27944709736385</v>
      </c>
      <c r="J684" s="35">
        <f>L680*K680^0.8</f>
        <v>2038.8294192395244</v>
      </c>
      <c r="K684" s="35">
        <f>K669</f>
        <v>0.005</v>
      </c>
      <c r="L684" s="35">
        <f>IF(J679=1,J674,J704)</f>
        <v>741.8930431536169</v>
      </c>
    </row>
    <row r="685" spans="4:12" ht="15">
      <c r="D685" s="3" t="s">
        <v>997</v>
      </c>
      <c r="E685" s="3" t="s">
        <v>820</v>
      </c>
      <c r="F685" s="3" t="s">
        <v>998</v>
      </c>
      <c r="G685" s="3" t="s">
        <v>999</v>
      </c>
      <c r="H685" s="3" t="s">
        <v>1000</v>
      </c>
      <c r="I685" s="3" t="s">
        <v>1001</v>
      </c>
      <c r="J685" s="3" t="s">
        <v>1002</v>
      </c>
      <c r="K685" s="3" t="s">
        <v>1003</v>
      </c>
      <c r="L685" s="3" t="s">
        <v>1004</v>
      </c>
    </row>
    <row r="686" spans="4:12" ht="15.75">
      <c r="D686" s="35">
        <f>D671</f>
        <v>160</v>
      </c>
      <c r="E686" s="35">
        <f>((0.78+1.6*G682)/(F682*H682*D682)^0.5-0.1)*(1-0.37*L682/1000)</f>
        <v>2.3836184143074055</v>
      </c>
      <c r="F686" s="35">
        <f>E686*H682</f>
        <v>0.5823964702785723</v>
      </c>
      <c r="G686" s="35">
        <f>1-EXP(-F686*F682*D682)</f>
        <v>0.1607959010466592</v>
      </c>
      <c r="H686" s="35">
        <f>0.000000049*(0.82+1)/2*G686*L682^3*(1-(K682/L682)^3.6)/(1-K682/L682)</f>
        <v>20.362398526088846</v>
      </c>
      <c r="I686" s="35">
        <f>I684+H686</f>
        <v>74.6418456234527</v>
      </c>
      <c r="J686" s="35">
        <f>1/(1/I686+K684+1/J684)</f>
        <v>52.94426145510021</v>
      </c>
      <c r="K686" s="35">
        <f>L682-L684</f>
        <v>260.49230371299575</v>
      </c>
      <c r="L686" s="35">
        <f>J686*D686*K686/D684</f>
        <v>137.91572634822217</v>
      </c>
    </row>
    <row r="687" spans="4:12" ht="15.75">
      <c r="D687" s="1" t="s">
        <v>1104</v>
      </c>
      <c r="L687" s="18"/>
    </row>
    <row r="688" spans="4:10" ht="15">
      <c r="D688" s="3" t="s">
        <v>1006</v>
      </c>
      <c r="E688" s="3" t="s">
        <v>109</v>
      </c>
      <c r="F688" s="3" t="s">
        <v>840</v>
      </c>
      <c r="G688" s="3" t="s">
        <v>1007</v>
      </c>
      <c r="H688" s="3" t="s">
        <v>1008</v>
      </c>
      <c r="I688" s="3" t="s">
        <v>544</v>
      </c>
      <c r="J688" s="3" t="s">
        <v>996</v>
      </c>
    </row>
    <row r="689" spans="4:10" ht="15.75">
      <c r="D689" s="35">
        <f>IF(J679=1,H674,H704)</f>
        <v>787.0906991896317</v>
      </c>
      <c r="E689" s="35">
        <f>E704</f>
        <v>100</v>
      </c>
      <c r="F689" s="35">
        <f>F704</f>
        <v>0.994</v>
      </c>
      <c r="G689" s="35">
        <f>L686*F689</f>
        <v>137.08823199013284</v>
      </c>
      <c r="H689" s="35">
        <f>D689+G689*D684/K680</f>
        <v>798.0577577488423</v>
      </c>
      <c r="I689" s="35">
        <f>3074.3-3.1077*E689-2.3864*10^7*H689^-1.3+22437.3*E689*H689^-1.3+0.0041697*E689^2+4.8476*10^10*H689^-2.6-177649*E689^2*H689^-2.6</f>
        <v>486.393938601166</v>
      </c>
      <c r="J689" s="35">
        <f>I689+273</f>
        <v>759.3939386011659</v>
      </c>
    </row>
    <row r="690" ht="15">
      <c r="D690" s="1" t="s">
        <v>1009</v>
      </c>
    </row>
    <row r="691" spans="4:10" ht="15.75">
      <c r="D691" s="3" t="s">
        <v>1010</v>
      </c>
      <c r="E691" s="3" t="s">
        <v>706</v>
      </c>
      <c r="F691" s="3" t="s">
        <v>699</v>
      </c>
      <c r="G691" s="7" t="s">
        <v>645</v>
      </c>
      <c r="H691" s="1" t="s">
        <v>695</v>
      </c>
      <c r="I691" s="3" t="s">
        <v>1011</v>
      </c>
      <c r="J691" s="3" t="s">
        <v>1012</v>
      </c>
    </row>
    <row r="692" spans="4:10" ht="15.75">
      <c r="D692" s="35">
        <f>I677</f>
        <v>255.2532558570052</v>
      </c>
      <c r="E692" s="35">
        <f>E677</f>
        <v>1.3130758017492712</v>
      </c>
      <c r="F692" s="35">
        <f>E684</f>
        <v>15.559873469387755</v>
      </c>
      <c r="G692" s="35">
        <f>G677</f>
        <v>0.07269981997125521</v>
      </c>
      <c r="H692" s="35">
        <f>H677</f>
        <v>0.02</v>
      </c>
      <c r="I692" s="35">
        <f>D692-L686/F692</f>
        <v>246.38970522341197</v>
      </c>
      <c r="J692" s="35">
        <f>-17.5+3.51*I692+38.864*E692^-0.5-0.30038*I692*E692^-0.5+0.0044766*I692^2-23.072/E692-0.000058066*I692^2/E692-0.010324*I692^1.9+IF(I692&lt;200,1.6-1.87*I692^0.3+0.2012*E692-21.75*H692+0.302*I692^0.6,-0.19-0.0006295*I692+0.7193*E692^-0.4+41.38*H692-0.4254*I692*E692^-0.4*H692)</f>
        <v>706.0608845686074</v>
      </c>
    </row>
    <row r="694" spans="3:12" ht="15.75">
      <c r="C694" s="4">
        <v>5</v>
      </c>
      <c r="E694" s="1" t="s">
        <v>1102</v>
      </c>
      <c r="I694" s="5" t="s">
        <v>12</v>
      </c>
      <c r="J694" s="40">
        <f>J679</f>
        <v>2</v>
      </c>
      <c r="K694" s="12" t="s">
        <v>984</v>
      </c>
      <c r="L694" s="12" t="s">
        <v>985</v>
      </c>
    </row>
    <row r="695" spans="4:12" ht="15.75">
      <c r="D695" s="1" t="s">
        <v>987</v>
      </c>
      <c r="K695" s="39">
        <f>K680</f>
        <v>200000</v>
      </c>
      <c r="L695" s="17">
        <v>0.1171</v>
      </c>
    </row>
    <row r="696" spans="4:12" ht="15">
      <c r="D696" s="3" t="s">
        <v>815</v>
      </c>
      <c r="E696" s="3" t="s">
        <v>988</v>
      </c>
      <c r="F696" s="3" t="s">
        <v>817</v>
      </c>
      <c r="G696" s="3" t="s">
        <v>102</v>
      </c>
      <c r="H696" s="3" t="s">
        <v>647</v>
      </c>
      <c r="I696" s="3" t="s">
        <v>989</v>
      </c>
      <c r="J696" s="3" t="s">
        <v>990</v>
      </c>
      <c r="K696" s="3" t="s">
        <v>991</v>
      </c>
      <c r="L696" s="3" t="s">
        <v>992</v>
      </c>
    </row>
    <row r="697" spans="4:12" ht="15.75">
      <c r="D697" s="35">
        <f aca="true" t="shared" si="51" ref="D697:J697">D682</f>
        <v>0.301</v>
      </c>
      <c r="E697" s="35">
        <f t="shared" si="51"/>
        <v>30.4</v>
      </c>
      <c r="F697" s="35">
        <f t="shared" si="51"/>
        <v>1</v>
      </c>
      <c r="G697" s="35">
        <f t="shared" si="51"/>
        <v>0.17163310965489723</v>
      </c>
      <c r="H697" s="35">
        <f t="shared" si="51"/>
        <v>0.24433292962615244</v>
      </c>
      <c r="I697" s="35">
        <f t="shared" si="51"/>
        <v>13.54</v>
      </c>
      <c r="J697" s="35">
        <f t="shared" si="51"/>
        <v>0.64</v>
      </c>
      <c r="K697" s="35">
        <f>L699+(K699+1/J699)*L701*D699/D701</f>
        <v>797.8531587760136</v>
      </c>
      <c r="L697" s="35">
        <f>273+J692</f>
        <v>979.0608845686074</v>
      </c>
    </row>
    <row r="698" spans="4:12" ht="15">
      <c r="D698" s="3" t="s">
        <v>835</v>
      </c>
      <c r="E698" s="3" t="s">
        <v>699</v>
      </c>
      <c r="F698" s="3" t="s">
        <v>544</v>
      </c>
      <c r="G698" s="3" t="s">
        <v>209</v>
      </c>
      <c r="H698" s="3" t="s">
        <v>206</v>
      </c>
      <c r="I698" s="3" t="s">
        <v>993</v>
      </c>
      <c r="J698" s="3" t="s">
        <v>994</v>
      </c>
      <c r="K698" s="3" t="s">
        <v>995</v>
      </c>
      <c r="L698" s="3" t="s">
        <v>996</v>
      </c>
    </row>
    <row r="699" spans="4:12" ht="15.75">
      <c r="D699" s="35">
        <f>D684</f>
        <v>16000</v>
      </c>
      <c r="E699" s="35">
        <f>E684</f>
        <v>15.559873469387755</v>
      </c>
      <c r="F699" s="35">
        <f>L697-273</f>
        <v>706.0608845686074</v>
      </c>
      <c r="G699" s="35">
        <f>D699*E699/(3600*E697)*(F699+273)/273</f>
        <v>8.15825004965104</v>
      </c>
      <c r="H699" s="35">
        <f>1.1077-0.002944*F699^0.7+0.67936*G697+0.0050854*F699^0.7*G697+0.0000089737*F699^1.4-2.4659*G697^2-0.000046377*F699^1.4*G697^2+23.168*F699^-0.1*G697^4</f>
        <v>1.0317949120085552</v>
      </c>
      <c r="I699" s="35">
        <f>I697*H699*G699^J697</f>
        <v>53.53454725256219</v>
      </c>
      <c r="J699" s="35">
        <f>L695*K695^0.8</f>
        <v>2038.8294192395244</v>
      </c>
      <c r="K699" s="35">
        <f>K684</f>
        <v>0.005</v>
      </c>
      <c r="L699" s="35">
        <f>IF(J694=1,J689,273+H629)</f>
        <v>725.4961378158824</v>
      </c>
    </row>
    <row r="700" spans="4:12" ht="15">
      <c r="D700" s="3" t="s">
        <v>997</v>
      </c>
      <c r="E700" s="3" t="s">
        <v>820</v>
      </c>
      <c r="F700" s="3" t="s">
        <v>998</v>
      </c>
      <c r="G700" s="3" t="s">
        <v>999</v>
      </c>
      <c r="H700" s="3" t="s">
        <v>1000</v>
      </c>
      <c r="I700" s="3" t="s">
        <v>1001</v>
      </c>
      <c r="J700" s="3" t="s">
        <v>1002</v>
      </c>
      <c r="K700" s="3" t="s">
        <v>1003</v>
      </c>
      <c r="L700" s="3" t="s">
        <v>1004</v>
      </c>
    </row>
    <row r="701" spans="4:12" ht="15.75">
      <c r="D701" s="35">
        <f>D686</f>
        <v>160</v>
      </c>
      <c r="E701" s="35">
        <f>((0.78+1.6*G697)/(F697*H697*D697)^0.5-0.1)*(1-0.37*L697/1000)</f>
        <v>2.416316203132837</v>
      </c>
      <c r="F701" s="35">
        <f>E701*H697</f>
        <v>0.5903856168145873</v>
      </c>
      <c r="G701" s="35">
        <f>1-EXP(-F701*F697*D697)</f>
        <v>0.1628115384209392</v>
      </c>
      <c r="H701" s="35">
        <f>0.000000049*(0.82+1)/2*G701*L697^3*(1-(K697/L697)^3.6)/(1-K697/L697)</f>
        <v>19.192147485338843</v>
      </c>
      <c r="I701" s="35">
        <f>I699+H701</f>
        <v>72.72669473790103</v>
      </c>
      <c r="J701" s="35">
        <f>1/(1/I701+K699+1/J699)</f>
        <v>51.9734668428454</v>
      </c>
      <c r="K701" s="35">
        <f>L697-L699</f>
        <v>253.564746752725</v>
      </c>
      <c r="L701" s="35">
        <f>J701*D701*K701/D699</f>
        <v>131.7863895786724</v>
      </c>
    </row>
    <row r="702" spans="4:12" ht="15.75">
      <c r="D702" s="1" t="s">
        <v>1104</v>
      </c>
      <c r="L702" s="18"/>
    </row>
    <row r="703" spans="4:10" ht="15">
      <c r="D703" s="3" t="s">
        <v>1006</v>
      </c>
      <c r="E703" s="3" t="s">
        <v>109</v>
      </c>
      <c r="F703" s="3" t="s">
        <v>840</v>
      </c>
      <c r="G703" s="3" t="s">
        <v>1007</v>
      </c>
      <c r="H703" s="3" t="s">
        <v>1008</v>
      </c>
      <c r="I703" s="3" t="s">
        <v>544</v>
      </c>
      <c r="J703" s="3" t="s">
        <v>996</v>
      </c>
    </row>
    <row r="704" spans="4:10" ht="15.75">
      <c r="D704" s="35">
        <f>IF(J694=1,H689,G629)</f>
        <v>776.6110454903356</v>
      </c>
      <c r="E704" s="35">
        <f>F629</f>
        <v>100</v>
      </c>
      <c r="F704" s="4">
        <v>0.994</v>
      </c>
      <c r="G704" s="35">
        <f>L701*F704</f>
        <v>130.99567124120037</v>
      </c>
      <c r="H704" s="35">
        <f>D704+G704*D699/K695</f>
        <v>787.0906991896317</v>
      </c>
      <c r="I704" s="35">
        <f>3074.3-3.1077*E704-2.3864*10^7*H704^-1.3+22437.3*E704*H704^-1.3+0.0041697*E704^2+4.8476*10^10*H704^-2.6-177649*E704^2*H704^-2.6</f>
        <v>468.8930431536169</v>
      </c>
      <c r="J704" s="35">
        <f>I704+273</f>
        <v>741.8930431536169</v>
      </c>
    </row>
    <row r="705" ht="15">
      <c r="D705" s="1" t="s">
        <v>1009</v>
      </c>
    </row>
    <row r="706" spans="4:10" ht="15.75">
      <c r="D706" s="3" t="s">
        <v>1010</v>
      </c>
      <c r="E706" s="3" t="s">
        <v>706</v>
      </c>
      <c r="F706" s="3" t="s">
        <v>699</v>
      </c>
      <c r="G706" s="7" t="s">
        <v>645</v>
      </c>
      <c r="H706" s="1" t="s">
        <v>695</v>
      </c>
      <c r="I706" s="3" t="s">
        <v>1011</v>
      </c>
      <c r="J706" s="3" t="s">
        <v>1012</v>
      </c>
    </row>
    <row r="707" spans="4:10" ht="15.75">
      <c r="D707" s="35">
        <f>I692</f>
        <v>246.38970522341197</v>
      </c>
      <c r="E707" s="35">
        <f>E692</f>
        <v>1.3130758017492712</v>
      </c>
      <c r="F707" s="35">
        <f>E699</f>
        <v>15.559873469387755</v>
      </c>
      <c r="G707" s="35">
        <f>G692</f>
        <v>0.07269981997125521</v>
      </c>
      <c r="H707" s="35">
        <f>H692</f>
        <v>0.02</v>
      </c>
      <c r="I707" s="35">
        <f>D707-L701/F707</f>
        <v>237.92007403791763</v>
      </c>
      <c r="J707" s="35">
        <f>-17.5+3.51*I707+38.864*E707^-0.5-0.30038*I707*E707^-0.5+0.0044766*I707^2-23.072/E707-0.000058066*I707^2/E707-0.010324*I707^1.9+IF(I707&lt;200,1.6-1.87*I707^0.3+0.2012*E707-21.75*H707+0.302*I707^0.6,-0.19-0.0006295*I707+0.7193*E707^-0.4+41.38*H707-0.4254*I707*E707^-0.4*H707)</f>
        <v>683.6766248062117</v>
      </c>
    </row>
    <row r="708" spans="3:12" ht="15">
      <c r="C708" s="24" t="s">
        <v>14</v>
      </c>
      <c r="D708" s="24"/>
      <c r="E708" s="24"/>
      <c r="F708" s="24"/>
      <c r="G708" s="24"/>
      <c r="H708" s="24"/>
      <c r="I708" s="24"/>
      <c r="J708" s="24"/>
      <c r="K708" s="24"/>
      <c r="L708" s="24"/>
    </row>
    <row r="710" spans="4:9" ht="15">
      <c r="D710" s="2" t="s">
        <v>1062</v>
      </c>
      <c r="E710" s="24" t="s">
        <v>1063</v>
      </c>
      <c r="F710" s="24"/>
      <c r="G710" s="24"/>
      <c r="H710" s="24"/>
      <c r="I710" s="24"/>
    </row>
    <row r="712" spans="3:4" ht="15">
      <c r="C712" s="1" t="s">
        <v>1064</v>
      </c>
      <c r="D712" s="1" t="s">
        <v>1065</v>
      </c>
    </row>
    <row r="713" spans="4:12" ht="15.75">
      <c r="D713" s="7" t="s">
        <v>1066</v>
      </c>
      <c r="E713" s="7" t="s">
        <v>1067</v>
      </c>
      <c r="F713" s="7" t="s">
        <v>1010</v>
      </c>
      <c r="G713" s="7" t="s">
        <v>1068</v>
      </c>
      <c r="H713" s="7" t="s">
        <v>1069</v>
      </c>
      <c r="I713" s="7" t="s">
        <v>1070</v>
      </c>
      <c r="J713" s="7" t="s">
        <v>1071</v>
      </c>
      <c r="K713" s="7" t="s">
        <v>1036</v>
      </c>
      <c r="L713" s="1" t="s">
        <v>695</v>
      </c>
    </row>
    <row r="714" spans="4:12" ht="15">
      <c r="D714" s="4">
        <v>0.07</v>
      </c>
      <c r="E714" s="4">
        <v>14.492424489795917</v>
      </c>
      <c r="F714" s="4">
        <v>424.3052854375869</v>
      </c>
      <c r="G714" s="4">
        <v>0.07805457263527406</v>
      </c>
      <c r="H714" s="4">
        <v>0.7062914398627405</v>
      </c>
      <c r="I714" s="4">
        <v>0.1828017452608597</v>
      </c>
      <c r="J714" s="4">
        <v>0.03285224224112583</v>
      </c>
      <c r="K714" s="4">
        <v>10</v>
      </c>
      <c r="L714" s="4">
        <v>0.02</v>
      </c>
    </row>
    <row r="715" spans="4:12" ht="15.75">
      <c r="D715" s="7" t="s">
        <v>1072</v>
      </c>
      <c r="E715" s="7" t="s">
        <v>699</v>
      </c>
      <c r="F715" s="7" t="s">
        <v>1011</v>
      </c>
      <c r="G715" s="7" t="s">
        <v>645</v>
      </c>
      <c r="H715" s="7" t="s">
        <v>644</v>
      </c>
      <c r="I715" s="7" t="s">
        <v>102</v>
      </c>
      <c r="J715" s="7" t="s">
        <v>646</v>
      </c>
      <c r="K715" s="3" t="s">
        <v>706</v>
      </c>
      <c r="L715" s="7" t="s">
        <v>1012</v>
      </c>
    </row>
    <row r="716" spans="4:12" ht="15.75">
      <c r="D716" s="35">
        <f>D714*9.51/(1-L714)</f>
        <v>0.6792857142857144</v>
      </c>
      <c r="E716" s="35">
        <f>E714+D716</f>
        <v>15.171710204081633</v>
      </c>
      <c r="F716" s="35">
        <f>(F714*E714+K714*D716)/E716</f>
        <v>405.7555202519123</v>
      </c>
      <c r="G716" s="35">
        <f>G714*E714/E716</f>
        <v>0.07455982119245029</v>
      </c>
      <c r="H716" s="35">
        <f>(H714*E714+0.79*D716)/E716</f>
        <v>0.7100393383066066</v>
      </c>
      <c r="I716" s="35">
        <f>(I714*E714+L714*D716)/E716</f>
        <v>0.17551259339011457</v>
      </c>
      <c r="J716" s="35">
        <f>(J714*E714+0.21*D716)/E716</f>
        <v>0.04078371071400611</v>
      </c>
      <c r="K716" s="35">
        <f>1+J716*1.01/(G716*0.21*9.51)</f>
        <v>1.2766326530612244</v>
      </c>
      <c r="L716" s="35">
        <f>-17.5+3.51*F716+38.864*K716^-0.5-0.30038*F716*K716^-0.5+0.0044766*F716^2-23.072/K716-0.000058066*F716^2/K716-0.010324*F716^1.9+IF(F716&lt;200,1.6-1.87*F716^0.3+0.2012*K716-21.75*L714+0.302*F716^0.6,-0.19-0.0006295*F716+0.7193*K716^-0.4+41.38*L714-0.4254*F716*K716^-0.4*L714)</f>
        <v>1110.29844576056</v>
      </c>
    </row>
    <row r="717" spans="9:12" ht="15">
      <c r="I717" s="24" t="s">
        <v>835</v>
      </c>
      <c r="J717" s="24">
        <v>16000</v>
      </c>
      <c r="K717" s="24" t="s">
        <v>1048</v>
      </c>
      <c r="L717" s="24">
        <v>1</v>
      </c>
    </row>
    <row r="718" ht="15">
      <c r="F718" s="1" t="s">
        <v>1073</v>
      </c>
    </row>
    <row r="719" ht="15">
      <c r="E719" s="1" t="s">
        <v>1074</v>
      </c>
    </row>
    <row r="720" spans="4:11" ht="15.75">
      <c r="D720" s="7" t="s">
        <v>1006</v>
      </c>
      <c r="E720" s="7" t="s">
        <v>850</v>
      </c>
      <c r="F720" s="7" t="s">
        <v>855</v>
      </c>
      <c r="G720" s="7" t="s">
        <v>860</v>
      </c>
      <c r="H720" s="7" t="s">
        <v>858</v>
      </c>
      <c r="I720" s="3" t="s">
        <v>109</v>
      </c>
      <c r="J720" s="7" t="s">
        <v>1008</v>
      </c>
      <c r="K720" s="7" t="s">
        <v>1075</v>
      </c>
    </row>
    <row r="721" spans="4:11" ht="15.75">
      <c r="D721" s="35">
        <f>H820</f>
        <v>793.6029107123403</v>
      </c>
      <c r="E721" s="4">
        <v>304.2330528433562</v>
      </c>
      <c r="F721" s="4">
        <v>15000</v>
      </c>
      <c r="G721" s="4">
        <v>152914.56538212864</v>
      </c>
      <c r="H721" s="4">
        <v>167914.56538212864</v>
      </c>
      <c r="I721" s="4">
        <v>100</v>
      </c>
      <c r="J721" s="35">
        <f>(D721*G721+E721*F721)/H721</f>
        <v>749.8869421105121</v>
      </c>
      <c r="K721" s="35">
        <f>3074.3-3.1077*I721-2.3864*10^7*J721^-1.3+22437.3*I721*J721^-1.3+0.0041697*I721^2+4.8476*10^10*J721^-2.6-177649*I721^2*J721^-2.6</f>
        <v>412.533733721415</v>
      </c>
    </row>
    <row r="723" spans="3:12" ht="15.75">
      <c r="C723" s="4">
        <v>1</v>
      </c>
      <c r="E723" s="1" t="s">
        <v>1102</v>
      </c>
      <c r="J723" s="1" t="s">
        <v>1106</v>
      </c>
      <c r="K723" s="12" t="s">
        <v>984</v>
      </c>
      <c r="L723" s="12" t="s">
        <v>985</v>
      </c>
    </row>
    <row r="724" spans="4:12" ht="15.75">
      <c r="D724" s="1" t="s">
        <v>987</v>
      </c>
      <c r="K724" s="39">
        <f>H721</f>
        <v>167914.56538212864</v>
      </c>
      <c r="L724" s="17">
        <v>0.1171</v>
      </c>
    </row>
    <row r="725" spans="4:12" ht="15">
      <c r="D725" s="3" t="s">
        <v>815</v>
      </c>
      <c r="E725" s="3" t="s">
        <v>988</v>
      </c>
      <c r="F725" s="3" t="s">
        <v>817</v>
      </c>
      <c r="G725" s="3" t="s">
        <v>102</v>
      </c>
      <c r="H725" s="3" t="s">
        <v>647</v>
      </c>
      <c r="I725" s="3" t="s">
        <v>989</v>
      </c>
      <c r="J725" s="3" t="s">
        <v>990</v>
      </c>
      <c r="K725" s="3" t="s">
        <v>991</v>
      </c>
      <c r="L725" s="3" t="s">
        <v>992</v>
      </c>
    </row>
    <row r="726" spans="4:12" ht="15.75">
      <c r="D726" s="4">
        <v>0.301</v>
      </c>
      <c r="E726" s="4">
        <v>30.4</v>
      </c>
      <c r="F726" s="35">
        <f>L717</f>
        <v>1</v>
      </c>
      <c r="G726" s="35">
        <f>I716</f>
        <v>0.17551259339011457</v>
      </c>
      <c r="H726" s="35">
        <f>G716+I716</f>
        <v>0.25007241458256485</v>
      </c>
      <c r="I726" s="4">
        <v>13.54</v>
      </c>
      <c r="J726" s="4">
        <v>0.64</v>
      </c>
      <c r="K726" s="35">
        <f>L728+(K728+1/J728)*L730*D728/D730</f>
        <v>936.1723338452274</v>
      </c>
      <c r="L726" s="35">
        <f>L716+273</f>
        <v>1383.29844576056</v>
      </c>
    </row>
    <row r="727" spans="4:12" ht="15">
      <c r="D727" s="3" t="s">
        <v>835</v>
      </c>
      <c r="E727" s="3" t="s">
        <v>699</v>
      </c>
      <c r="F727" s="3" t="s">
        <v>544</v>
      </c>
      <c r="G727" s="3" t="s">
        <v>209</v>
      </c>
      <c r="H727" s="3" t="s">
        <v>206</v>
      </c>
      <c r="I727" s="3" t="s">
        <v>993</v>
      </c>
      <c r="J727" s="3" t="s">
        <v>994</v>
      </c>
      <c r="K727" s="3" t="s">
        <v>995</v>
      </c>
      <c r="L727" s="3" t="s">
        <v>996</v>
      </c>
    </row>
    <row r="728" spans="4:12" ht="15.75">
      <c r="D728" s="35">
        <f>J717</f>
        <v>16000</v>
      </c>
      <c r="E728" s="35">
        <f>E716</f>
        <v>15.171710204081633</v>
      </c>
      <c r="F728" s="35">
        <f>L726-273</f>
        <v>1110.29844576056</v>
      </c>
      <c r="G728" s="35">
        <f>D728*E728/(3600*E726)*(F728+273)/273</f>
        <v>11.239103712719698</v>
      </c>
      <c r="H728" s="35">
        <f>1.1077-0.002944*F728^0.7+0.67936*G726+0.0050854*F728^0.7*G726+0.0000089737*F728^1.4-2.4659*G726^2-0.000046377*F728^1.4*G726^2+23.168*F728^-0.1*G726^4</f>
        <v>1.0224372487840918</v>
      </c>
      <c r="I728" s="35">
        <f>I726*H728*G728^J726</f>
        <v>65.12138099696679</v>
      </c>
      <c r="J728" s="35">
        <f>L724*K724^0.8</f>
        <v>1772.6687587714298</v>
      </c>
      <c r="K728" s="4">
        <v>0.005</v>
      </c>
      <c r="L728" s="35">
        <f>273+K721</f>
        <v>685.533733721415</v>
      </c>
    </row>
    <row r="729" spans="4:12" ht="15">
      <c r="D729" s="3" t="s">
        <v>997</v>
      </c>
      <c r="E729" s="3" t="s">
        <v>820</v>
      </c>
      <c r="F729" s="3" t="s">
        <v>998</v>
      </c>
      <c r="G729" s="3" t="s">
        <v>999</v>
      </c>
      <c r="H729" s="3" t="s">
        <v>1000</v>
      </c>
      <c r="I729" s="3" t="s">
        <v>1001</v>
      </c>
      <c r="J729" s="3" t="s">
        <v>1002</v>
      </c>
      <c r="K729" s="3" t="s">
        <v>1003</v>
      </c>
      <c r="L729" s="3" t="s">
        <v>1004</v>
      </c>
    </row>
    <row r="730" spans="4:12" ht="15.75">
      <c r="D730" s="35">
        <f>1600/10</f>
        <v>160</v>
      </c>
      <c r="E730" s="35">
        <f>((0.78+1.6*G726)/(F726*H726*D726)^0.5-0.1)*(1-0.37*L726/1000)</f>
        <v>1.8387614192872639</v>
      </c>
      <c r="F730" s="35">
        <f>E730*H726</f>
        <v>0.45982350796243</v>
      </c>
      <c r="G730" s="35">
        <f>1-EXP(-F730*F726*D726)</f>
        <v>0.12925566522096954</v>
      </c>
      <c r="H730" s="35">
        <f>0.000000049*(0.82+1)/2*G730*L726^3*(1-(K726/L726)^3.6)/(1-K726/L726)</f>
        <v>35.62311832955218</v>
      </c>
      <c r="I730" s="35">
        <f>I728+H730</f>
        <v>100.74449932651896</v>
      </c>
      <c r="J730" s="35">
        <f>1/(1/I730+K728+1/J728)</f>
        <v>64.55685634930215</v>
      </c>
      <c r="K730" s="35">
        <f>L726-L728</f>
        <v>697.764712039145</v>
      </c>
      <c r="L730" s="35">
        <f>J730*D730*K730/D728</f>
        <v>450.4549628072327</v>
      </c>
    </row>
    <row r="731" spans="4:12" ht="15.75">
      <c r="D731" s="1" t="s">
        <v>1104</v>
      </c>
      <c r="L731" s="18"/>
    </row>
    <row r="732" spans="4:10" ht="15">
      <c r="D732" s="3" t="s">
        <v>1006</v>
      </c>
      <c r="E732" s="3" t="s">
        <v>109</v>
      </c>
      <c r="F732" s="3" t="s">
        <v>840</v>
      </c>
      <c r="G732" s="3" t="s">
        <v>1007</v>
      </c>
      <c r="H732" s="3" t="s">
        <v>1008</v>
      </c>
      <c r="I732" s="3" t="s">
        <v>544</v>
      </c>
      <c r="J732" s="3" t="s">
        <v>996</v>
      </c>
    </row>
    <row r="733" spans="4:10" ht="15.75">
      <c r="D733" s="35">
        <f>J721</f>
        <v>749.8869421105121</v>
      </c>
      <c r="E733" s="35">
        <f>I721</f>
        <v>100</v>
      </c>
      <c r="F733" s="4">
        <v>0.994</v>
      </c>
      <c r="G733" s="35">
        <f>L730*F733</f>
        <v>447.7522330303893</v>
      </c>
      <c r="H733" s="35">
        <f>D733+G733*D728/K724</f>
        <v>792.5517086373634</v>
      </c>
      <c r="I733" s="35">
        <f>3074.3-3.1077*E733-2.3864*10^7*H733^-1.3+22437.3*E733*H733^-1.3+0.0041697*E733^2+4.8476*10^10*H733^-2.6-177649*E733^2*H733^-2.6</f>
        <v>477.5675847072064</v>
      </c>
      <c r="J733" s="35">
        <f>I733+273</f>
        <v>750.5675847072064</v>
      </c>
    </row>
    <row r="734" ht="15">
      <c r="D734" s="1" t="s">
        <v>1009</v>
      </c>
    </row>
    <row r="735" spans="4:10" ht="15.75">
      <c r="D735" s="3" t="s">
        <v>1010</v>
      </c>
      <c r="E735" s="3" t="s">
        <v>706</v>
      </c>
      <c r="F735" s="3" t="s">
        <v>699</v>
      </c>
      <c r="G735" s="7" t="s">
        <v>645</v>
      </c>
      <c r="H735" s="1" t="s">
        <v>695</v>
      </c>
      <c r="I735" s="3" t="s">
        <v>1011</v>
      </c>
      <c r="J735" s="3" t="s">
        <v>1012</v>
      </c>
    </row>
    <row r="736" spans="4:10" ht="15.75">
      <c r="D736" s="35">
        <f>F716</f>
        <v>405.7555202519123</v>
      </c>
      <c r="E736" s="35">
        <f>K716</f>
        <v>1.2766326530612244</v>
      </c>
      <c r="F736" s="35">
        <f>E728</f>
        <v>15.171710204081633</v>
      </c>
      <c r="G736" s="35">
        <f>G716</f>
        <v>0.07455982119245029</v>
      </c>
      <c r="H736" s="35">
        <f>L714</f>
        <v>0.02</v>
      </c>
      <c r="I736" s="35">
        <f>D736-L730/F736</f>
        <v>376.06506632496826</v>
      </c>
      <c r="J736" s="35">
        <f>-17.5+3.51*I736+38.864*E736^-0.5-0.30038*I736*E736^-0.5+0.0044766*I736^2-23.072/E736-0.000058066*I736^2/E736-0.010324*I736^1.9+IF(I736&lt;200,1.6-1.87*I736^0.3+0.2012*E736-21.75*H736+0.302*I736^0.6,-0.19-0.0006295*I736+0.7193*E736^-0.4+41.38*H736-0.4254*I736*E736^-0.4*H736)</f>
        <v>1036.70495645115</v>
      </c>
    </row>
    <row r="738" spans="3:12" ht="15.75">
      <c r="C738" s="4">
        <v>2</v>
      </c>
      <c r="E738" s="1" t="s">
        <v>1102</v>
      </c>
      <c r="K738" s="12" t="s">
        <v>984</v>
      </c>
      <c r="L738" s="12" t="s">
        <v>985</v>
      </c>
    </row>
    <row r="739" spans="4:12" ht="15.75">
      <c r="D739" s="1" t="s">
        <v>987</v>
      </c>
      <c r="K739" s="39">
        <f>K724</f>
        <v>167914.56538212864</v>
      </c>
      <c r="L739" s="17">
        <v>0.1171</v>
      </c>
    </row>
    <row r="740" spans="4:12" ht="15">
      <c r="D740" s="3" t="s">
        <v>815</v>
      </c>
      <c r="E740" s="3" t="s">
        <v>988</v>
      </c>
      <c r="F740" s="3" t="s">
        <v>817</v>
      </c>
      <c r="G740" s="3" t="s">
        <v>102</v>
      </c>
      <c r="H740" s="3" t="s">
        <v>647</v>
      </c>
      <c r="I740" s="3" t="s">
        <v>989</v>
      </c>
      <c r="J740" s="3" t="s">
        <v>990</v>
      </c>
      <c r="K740" s="3" t="s">
        <v>991</v>
      </c>
      <c r="L740" s="3" t="s">
        <v>992</v>
      </c>
    </row>
    <row r="741" spans="4:12" ht="15.75">
      <c r="D741" s="35">
        <f aca="true" t="shared" si="52" ref="D741:J741">D726</f>
        <v>0.301</v>
      </c>
      <c r="E741" s="35">
        <f t="shared" si="52"/>
        <v>30.4</v>
      </c>
      <c r="F741" s="35">
        <f t="shared" si="52"/>
        <v>1</v>
      </c>
      <c r="G741" s="35">
        <f t="shared" si="52"/>
        <v>0.17551259339011457</v>
      </c>
      <c r="H741" s="35">
        <f t="shared" si="52"/>
        <v>0.25007241458256485</v>
      </c>
      <c r="I741" s="35">
        <f t="shared" si="52"/>
        <v>13.54</v>
      </c>
      <c r="J741" s="35">
        <f t="shared" si="52"/>
        <v>0.64</v>
      </c>
      <c r="K741" s="35">
        <f>L743+(K743+1/J743)*L745*D743/D745</f>
        <v>946.2410564824293</v>
      </c>
      <c r="L741" s="35">
        <f>J736+273</f>
        <v>1309.70495645115</v>
      </c>
    </row>
    <row r="742" spans="4:12" ht="15">
      <c r="D742" s="3" t="s">
        <v>835</v>
      </c>
      <c r="E742" s="3" t="s">
        <v>699</v>
      </c>
      <c r="F742" s="3" t="s">
        <v>544</v>
      </c>
      <c r="G742" s="3" t="s">
        <v>209</v>
      </c>
      <c r="H742" s="3" t="s">
        <v>206</v>
      </c>
      <c r="I742" s="3" t="s">
        <v>993</v>
      </c>
      <c r="J742" s="3" t="s">
        <v>994</v>
      </c>
      <c r="K742" s="3" t="s">
        <v>995</v>
      </c>
      <c r="L742" s="3" t="s">
        <v>996</v>
      </c>
    </row>
    <row r="743" spans="4:12" ht="15.75">
      <c r="D743" s="35">
        <f>D728</f>
        <v>16000</v>
      </c>
      <c r="E743" s="35">
        <f>E728</f>
        <v>15.171710204081633</v>
      </c>
      <c r="F743" s="35">
        <f>L741-273</f>
        <v>1036.70495645115</v>
      </c>
      <c r="G743" s="35">
        <f>D743*E743/(3600*E741)*(F743+273)/273</f>
        <v>10.641167048029368</v>
      </c>
      <c r="H743" s="35">
        <f>1.1077-0.002944*F743^0.7+0.67936*G741+0.0050854*F743^0.7*G741+0.0000089737*F743^1.4-2.4659*G741^2-0.000046377*F743^1.4*G741^2+23.168*F743^-0.1*G741^4</f>
        <v>1.0228631454591253</v>
      </c>
      <c r="I743" s="35">
        <f>I741*H743*G743^J741</f>
        <v>62.908498890982855</v>
      </c>
      <c r="J743" s="35">
        <f>L739*K739^0.8</f>
        <v>1772.6687587714298</v>
      </c>
      <c r="K743" s="35">
        <f>K728</f>
        <v>0.005</v>
      </c>
      <c r="L743" s="35">
        <f>J733</f>
        <v>750.5675847072064</v>
      </c>
    </row>
    <row r="744" spans="4:12" ht="15">
      <c r="D744" s="3" t="s">
        <v>997</v>
      </c>
      <c r="E744" s="3" t="s">
        <v>820</v>
      </c>
      <c r="F744" s="3" t="s">
        <v>998</v>
      </c>
      <c r="G744" s="3" t="s">
        <v>999</v>
      </c>
      <c r="H744" s="3" t="s">
        <v>1000</v>
      </c>
      <c r="I744" s="3" t="s">
        <v>1001</v>
      </c>
      <c r="J744" s="3" t="s">
        <v>1002</v>
      </c>
      <c r="K744" s="3" t="s">
        <v>1003</v>
      </c>
      <c r="L744" s="3" t="s">
        <v>1004</v>
      </c>
    </row>
    <row r="745" spans="4:12" ht="15.75">
      <c r="D745" s="35">
        <f>D730</f>
        <v>160</v>
      </c>
      <c r="E745" s="35">
        <f>((0.78+1.6*G741)/(F741*H741*D741)^0.5-0.1)*(1-0.37*L741/1000)</f>
        <v>1.941323517401524</v>
      </c>
      <c r="F745" s="35">
        <f>E745*H741</f>
        <v>0.48547145948251696</v>
      </c>
      <c r="G745" s="35">
        <f>1-EXP(-F745*F741*D741)</f>
        <v>0.1359519595094647</v>
      </c>
      <c r="H745" s="35">
        <f>0.000000049*(0.82+1)/2*G745*L741^3*(1-(K741/L741)^3.6)/(1-K741/L741)</f>
        <v>33.84665057784249</v>
      </c>
      <c r="I745" s="35">
        <f>I743+H745</f>
        <v>96.75514946882535</v>
      </c>
      <c r="J745" s="35">
        <f>1/(1/I745+K743+1/J743)</f>
        <v>62.89510546989597</v>
      </c>
      <c r="K745" s="35">
        <f>L741-L743</f>
        <v>559.1373717439437</v>
      </c>
      <c r="L745" s="35">
        <f>J745*D745*K745/D743</f>
        <v>351.67003967995765</v>
      </c>
    </row>
    <row r="746" spans="4:12" ht="15.75">
      <c r="D746" s="1" t="s">
        <v>1104</v>
      </c>
      <c r="L746" s="18"/>
    </row>
    <row r="747" spans="4:10" ht="15">
      <c r="D747" s="3" t="s">
        <v>1006</v>
      </c>
      <c r="E747" s="3" t="s">
        <v>109</v>
      </c>
      <c r="F747" s="3" t="s">
        <v>840</v>
      </c>
      <c r="G747" s="3" t="s">
        <v>1007</v>
      </c>
      <c r="H747" s="3" t="s">
        <v>1008</v>
      </c>
      <c r="I747" s="3" t="s">
        <v>544</v>
      </c>
      <c r="J747" s="3" t="s">
        <v>996</v>
      </c>
    </row>
    <row r="748" spans="4:10" ht="15.75">
      <c r="D748" s="35">
        <f>H733</f>
        <v>792.5517086373634</v>
      </c>
      <c r="E748" s="35">
        <f>E733</f>
        <v>100</v>
      </c>
      <c r="F748" s="35">
        <f>F733</f>
        <v>0.994</v>
      </c>
      <c r="G748" s="35">
        <f>L745*F748</f>
        <v>349.5600194418779</v>
      </c>
      <c r="H748" s="35">
        <f>D748+G748*D743/K739</f>
        <v>825.8600776781429</v>
      </c>
      <c r="I748" s="35">
        <f>3074.3-3.1077*E748-2.3864*10^7*H748^-1.3+22437.3*E748*H748^-1.3+0.0041697*E748^2+4.8476*10^10*H748^-2.6-177649*E748^2*H748^-2.6</f>
        <v>531.9486578865182</v>
      </c>
      <c r="J748" s="35">
        <f>I748+273</f>
        <v>804.9486578865182</v>
      </c>
    </row>
    <row r="749" ht="15">
      <c r="D749" s="1" t="s">
        <v>1009</v>
      </c>
    </row>
    <row r="750" spans="4:10" ht="15.75">
      <c r="D750" s="3" t="s">
        <v>1010</v>
      </c>
      <c r="E750" s="3" t="s">
        <v>706</v>
      </c>
      <c r="F750" s="3" t="s">
        <v>699</v>
      </c>
      <c r="G750" s="7" t="s">
        <v>645</v>
      </c>
      <c r="H750" s="1" t="s">
        <v>695</v>
      </c>
      <c r="I750" s="3" t="s">
        <v>1011</v>
      </c>
      <c r="J750" s="3" t="s">
        <v>1012</v>
      </c>
    </row>
    <row r="751" spans="4:10" ht="15.75">
      <c r="D751" s="35">
        <f>I736</f>
        <v>376.06506632496826</v>
      </c>
      <c r="E751" s="35">
        <f>E736</f>
        <v>1.2766326530612244</v>
      </c>
      <c r="F751" s="35">
        <f>E743</f>
        <v>15.171710204081633</v>
      </c>
      <c r="G751" s="35">
        <f>G736</f>
        <v>0.07455982119245029</v>
      </c>
      <c r="H751" s="35">
        <f>H736</f>
        <v>0.02</v>
      </c>
      <c r="I751" s="35">
        <f>D751-L745/F751</f>
        <v>352.88573881676496</v>
      </c>
      <c r="J751" s="35">
        <f>-17.5+3.51*I751+38.864*E751^-0.5-0.30038*I751*E751^-0.5+0.0044766*I751^2-23.072/E751-0.000058066*I751^2/E751-0.010324*I751^1.9+IF(I751&lt;200,1.6-1.87*I751^0.3+0.2012*E751-21.75*H751+0.302*I751^0.6,-0.19-0.0006295*I751+0.7193*E751^-0.4+41.38*H751-0.4254*I751*E751^-0.4*H751)</f>
        <v>978.7054316142038</v>
      </c>
    </row>
    <row r="753" spans="3:12" ht="15.75">
      <c r="C753" s="4">
        <v>3</v>
      </c>
      <c r="E753" s="1" t="s">
        <v>1102</v>
      </c>
      <c r="K753" s="12" t="s">
        <v>984</v>
      </c>
      <c r="L753" s="12" t="s">
        <v>985</v>
      </c>
    </row>
    <row r="754" spans="4:12" ht="15.75">
      <c r="D754" s="1" t="s">
        <v>987</v>
      </c>
      <c r="K754" s="39">
        <f>K739</f>
        <v>167914.56538212864</v>
      </c>
      <c r="L754" s="17">
        <v>0.1171</v>
      </c>
    </row>
    <row r="755" spans="4:12" ht="15">
      <c r="D755" s="3" t="s">
        <v>815</v>
      </c>
      <c r="E755" s="3" t="s">
        <v>988</v>
      </c>
      <c r="F755" s="3" t="s">
        <v>817</v>
      </c>
      <c r="G755" s="3" t="s">
        <v>102</v>
      </c>
      <c r="H755" s="3" t="s">
        <v>647</v>
      </c>
      <c r="I755" s="3" t="s">
        <v>989</v>
      </c>
      <c r="J755" s="3" t="s">
        <v>990</v>
      </c>
      <c r="K755" s="3" t="s">
        <v>991</v>
      </c>
      <c r="L755" s="3" t="s">
        <v>992</v>
      </c>
    </row>
    <row r="756" spans="4:12" ht="15.75">
      <c r="D756" s="35">
        <f aca="true" t="shared" si="53" ref="D756:J756">D741</f>
        <v>0.301</v>
      </c>
      <c r="E756" s="35">
        <f t="shared" si="53"/>
        <v>30.4</v>
      </c>
      <c r="F756" s="35">
        <f t="shared" si="53"/>
        <v>1</v>
      </c>
      <c r="G756" s="35">
        <f t="shared" si="53"/>
        <v>0.17551259339011457</v>
      </c>
      <c r="H756" s="35">
        <f t="shared" si="53"/>
        <v>0.25007241458256485</v>
      </c>
      <c r="I756" s="35">
        <f t="shared" si="53"/>
        <v>13.54</v>
      </c>
      <c r="J756" s="35">
        <f t="shared" si="53"/>
        <v>0.64</v>
      </c>
      <c r="K756" s="35">
        <f>L758+(K758+1/J758)*L760*D758/D760</f>
        <v>958.0330247364784</v>
      </c>
      <c r="L756" s="35">
        <f>J751+273</f>
        <v>1251.705431614204</v>
      </c>
    </row>
    <row r="757" spans="4:12" ht="15">
      <c r="D757" s="3" t="s">
        <v>835</v>
      </c>
      <c r="E757" s="3" t="s">
        <v>699</v>
      </c>
      <c r="F757" s="3" t="s">
        <v>544</v>
      </c>
      <c r="G757" s="3" t="s">
        <v>209</v>
      </c>
      <c r="H757" s="3" t="s">
        <v>206</v>
      </c>
      <c r="I757" s="3" t="s">
        <v>993</v>
      </c>
      <c r="J757" s="3" t="s">
        <v>994</v>
      </c>
      <c r="K757" s="3" t="s">
        <v>995</v>
      </c>
      <c r="L757" s="3" t="s">
        <v>996</v>
      </c>
    </row>
    <row r="758" spans="4:12" ht="15.75">
      <c r="D758" s="35">
        <f>D743</f>
        <v>16000</v>
      </c>
      <c r="E758" s="35">
        <f>E743</f>
        <v>15.171710204081633</v>
      </c>
      <c r="F758" s="35">
        <f>L756-273</f>
        <v>978.7054316142039</v>
      </c>
      <c r="G758" s="35">
        <f>D758*E758/(3600*E756)*(F758+273)/273</f>
        <v>10.169929133370617</v>
      </c>
      <c r="H758" s="35">
        <f>1.1077-0.002944*F758^0.7+0.67936*G756+0.0050854*F758^0.7*G756+0.0000089737*F758^1.4-2.4659*G756^2-0.000046377*F758^1.4*G756^2+23.168*F758^-0.1*G756^4</f>
        <v>1.0236488746781813</v>
      </c>
      <c r="I758" s="35">
        <f>I756*H758*G758^J756</f>
        <v>61.157982559927056</v>
      </c>
      <c r="J758" s="35">
        <f>L754*K754^0.8</f>
        <v>1772.6687587714298</v>
      </c>
      <c r="K758" s="35">
        <f>K743</f>
        <v>0.005</v>
      </c>
      <c r="L758" s="35">
        <f>J748</f>
        <v>804.9486578865182</v>
      </c>
    </row>
    <row r="759" spans="4:12" ht="15">
      <c r="D759" s="3" t="s">
        <v>997</v>
      </c>
      <c r="E759" s="3" t="s">
        <v>820</v>
      </c>
      <c r="F759" s="3" t="s">
        <v>998</v>
      </c>
      <c r="G759" s="3" t="s">
        <v>999</v>
      </c>
      <c r="H759" s="3" t="s">
        <v>1000</v>
      </c>
      <c r="I759" s="3" t="s">
        <v>1001</v>
      </c>
      <c r="J759" s="3" t="s">
        <v>1002</v>
      </c>
      <c r="K759" s="3" t="s">
        <v>1003</v>
      </c>
      <c r="L759" s="3" t="s">
        <v>1004</v>
      </c>
    </row>
    <row r="760" spans="4:12" ht="15.75">
      <c r="D760" s="35">
        <f>D745</f>
        <v>160</v>
      </c>
      <c r="E760" s="35">
        <f>((0.78+1.6*G756)/(F756*H756*D756)^0.5-0.1)*(1-0.37*L756/1000)</f>
        <v>2.0221533980435167</v>
      </c>
      <c r="F760" s="35">
        <f>E760*H756</f>
        <v>0.5056847829050806</v>
      </c>
      <c r="G760" s="35">
        <f>1-EXP(-F760*F756*D756)</f>
        <v>0.14119304942601074</v>
      </c>
      <c r="H760" s="35">
        <f>0.000000049*(0.82+1)/2*G760*L756^3*(1-(K756/L756)^3.6)/(1-K756/L756)</f>
        <v>32.527245747630374</v>
      </c>
      <c r="I760" s="35">
        <f>I758+H760</f>
        <v>93.68522830755742</v>
      </c>
      <c r="J760" s="35">
        <f>1/(1/I760+K758+1/J758)</f>
        <v>61.58332252336397</v>
      </c>
      <c r="K760" s="35">
        <f>L756-L758</f>
        <v>446.75677372768575</v>
      </c>
      <c r="L760" s="35">
        <f>J760*D760*K760/D758</f>
        <v>275.1276648596961</v>
      </c>
    </row>
    <row r="761" spans="4:12" ht="15.75">
      <c r="D761" s="1" t="s">
        <v>1104</v>
      </c>
      <c r="L761" s="18"/>
    </row>
    <row r="762" spans="4:10" ht="15">
      <c r="D762" s="3" t="s">
        <v>1006</v>
      </c>
      <c r="E762" s="3" t="s">
        <v>109</v>
      </c>
      <c r="F762" s="3" t="s">
        <v>840</v>
      </c>
      <c r="G762" s="3" t="s">
        <v>1007</v>
      </c>
      <c r="H762" s="3" t="s">
        <v>1008</v>
      </c>
      <c r="I762" s="3" t="s">
        <v>544</v>
      </c>
      <c r="J762" s="3" t="s">
        <v>996</v>
      </c>
    </row>
    <row r="763" spans="4:10" ht="15.75">
      <c r="D763" s="35">
        <f>H748</f>
        <v>825.8600776781429</v>
      </c>
      <c r="E763" s="35">
        <f>E748</f>
        <v>100</v>
      </c>
      <c r="F763" s="35">
        <f>F748</f>
        <v>0.994</v>
      </c>
      <c r="G763" s="35">
        <f>L760*F763</f>
        <v>273.4768988705379</v>
      </c>
      <c r="H763" s="35">
        <f>D763+G763*D758/K754</f>
        <v>851.9187484788018</v>
      </c>
      <c r="I763" s="35">
        <f>3074.3-3.1077*E763-2.3864*10^7*H763^-1.3+22437.3*E763*H763^-1.3+0.0041697*E763^2+4.8476*10^10*H763^-2.6-177649*E763^2*H763^-2.6</f>
        <v>575.6568065584685</v>
      </c>
      <c r="J763" s="35">
        <f>I763+273</f>
        <v>848.6568065584685</v>
      </c>
    </row>
    <row r="764" ht="15">
      <c r="D764" s="1" t="s">
        <v>1009</v>
      </c>
    </row>
    <row r="765" spans="4:10" ht="15.75">
      <c r="D765" s="3" t="s">
        <v>1010</v>
      </c>
      <c r="E765" s="3" t="s">
        <v>706</v>
      </c>
      <c r="F765" s="3" t="s">
        <v>699</v>
      </c>
      <c r="G765" s="7" t="s">
        <v>645</v>
      </c>
      <c r="H765" s="1" t="s">
        <v>695</v>
      </c>
      <c r="I765" s="3" t="s">
        <v>1011</v>
      </c>
      <c r="J765" s="3" t="s">
        <v>1012</v>
      </c>
    </row>
    <row r="766" spans="4:10" ht="15.75">
      <c r="D766" s="35">
        <f>I751</f>
        <v>352.88573881676496</v>
      </c>
      <c r="E766" s="35">
        <f>E751</f>
        <v>1.2766326530612244</v>
      </c>
      <c r="F766" s="35">
        <f>E758</f>
        <v>15.171710204081633</v>
      </c>
      <c r="G766" s="35">
        <f>G751</f>
        <v>0.07455982119245029</v>
      </c>
      <c r="H766" s="35">
        <f>H751</f>
        <v>0.02</v>
      </c>
      <c r="I766" s="35">
        <f>D766-L760/F766</f>
        <v>334.75148360368564</v>
      </c>
      <c r="J766" s="35">
        <f>-17.5+3.51*I766+38.864*E766^-0.5-0.30038*I766*E766^-0.5+0.0044766*I766^2-23.072/E766-0.000058066*I766^2/E766-0.010324*I766^1.9+IF(I766&lt;200,1.6-1.87*I766^0.3+0.2012*E766-21.75*H766+0.302*I766^0.6,-0.19-0.0006295*I766+0.7193*E766^-0.4+41.38*H766-0.4254*I766*E766^-0.4*H766)</f>
        <v>932.9728516267132</v>
      </c>
    </row>
    <row r="768" spans="3:12" ht="15.75">
      <c r="C768" s="4">
        <v>4</v>
      </c>
      <c r="E768" s="1" t="s">
        <v>1102</v>
      </c>
      <c r="K768" s="12" t="s">
        <v>984</v>
      </c>
      <c r="L768" s="12" t="s">
        <v>985</v>
      </c>
    </row>
    <row r="769" spans="4:12" ht="15.75">
      <c r="D769" s="1" t="s">
        <v>987</v>
      </c>
      <c r="K769" s="39">
        <f>K754</f>
        <v>167914.56538212864</v>
      </c>
      <c r="L769" s="17">
        <v>0.1171</v>
      </c>
    </row>
    <row r="770" spans="4:12" ht="15">
      <c r="D770" s="3" t="s">
        <v>815</v>
      </c>
      <c r="E770" s="3" t="s">
        <v>988</v>
      </c>
      <c r="F770" s="3" t="s">
        <v>817</v>
      </c>
      <c r="G770" s="3" t="s">
        <v>102</v>
      </c>
      <c r="H770" s="3" t="s">
        <v>647</v>
      </c>
      <c r="I770" s="3" t="s">
        <v>989</v>
      </c>
      <c r="J770" s="3" t="s">
        <v>990</v>
      </c>
      <c r="K770" s="3" t="s">
        <v>991</v>
      </c>
      <c r="L770" s="3" t="s">
        <v>992</v>
      </c>
    </row>
    <row r="771" spans="4:12" ht="15.75">
      <c r="D771" s="35">
        <f aca="true" t="shared" si="54" ref="D771:J771">D756</f>
        <v>0.301</v>
      </c>
      <c r="E771" s="35">
        <f t="shared" si="54"/>
        <v>30.4</v>
      </c>
      <c r="F771" s="35">
        <f t="shared" si="54"/>
        <v>1</v>
      </c>
      <c r="G771" s="35">
        <f t="shared" si="54"/>
        <v>0.17551259339011457</v>
      </c>
      <c r="H771" s="35">
        <f t="shared" si="54"/>
        <v>0.25007241458256485</v>
      </c>
      <c r="I771" s="35">
        <f t="shared" si="54"/>
        <v>13.54</v>
      </c>
      <c r="J771" s="35">
        <f t="shared" si="54"/>
        <v>0.64</v>
      </c>
      <c r="K771" s="35">
        <f>L773+(K773+1/J773)*L775*D773/D775</f>
        <v>969.0215747073504</v>
      </c>
      <c r="L771" s="35">
        <f>J766+273</f>
        <v>1205.9728516267132</v>
      </c>
    </row>
    <row r="772" spans="4:12" ht="15">
      <c r="D772" s="3" t="s">
        <v>835</v>
      </c>
      <c r="E772" s="3" t="s">
        <v>699</v>
      </c>
      <c r="F772" s="3" t="s">
        <v>544</v>
      </c>
      <c r="G772" s="3" t="s">
        <v>209</v>
      </c>
      <c r="H772" s="3" t="s">
        <v>206</v>
      </c>
      <c r="I772" s="3" t="s">
        <v>993</v>
      </c>
      <c r="J772" s="3" t="s">
        <v>994</v>
      </c>
      <c r="K772" s="3" t="s">
        <v>995</v>
      </c>
      <c r="L772" s="3" t="s">
        <v>996</v>
      </c>
    </row>
    <row r="773" spans="4:12" ht="15.75">
      <c r="D773" s="35">
        <f>D758</f>
        <v>16000</v>
      </c>
      <c r="E773" s="35">
        <f>E758</f>
        <v>15.171710204081633</v>
      </c>
      <c r="F773" s="35">
        <f>L771-273</f>
        <v>932.9728516267132</v>
      </c>
      <c r="G773" s="35">
        <f>D773*E773/(3600*E771)*(F773+273)/273</f>
        <v>9.798358406095597</v>
      </c>
      <c r="H773" s="35">
        <f>1.1077-0.002944*F773^0.7+0.67936*G771+0.0050854*F773^0.7*G771+0.0000089737*F773^1.4-2.4659*G771^2-0.000046377*F773^1.4*G771^2+23.168*F773^-0.1*G771^4</f>
        <v>1.024563617216546</v>
      </c>
      <c r="I773" s="35">
        <f>I771*H773*G773^J771</f>
        <v>59.77171536415019</v>
      </c>
      <c r="J773" s="35">
        <f>L769*K769^0.8</f>
        <v>1772.6687587714298</v>
      </c>
      <c r="K773" s="35">
        <f>K758</f>
        <v>0.005</v>
      </c>
      <c r="L773" s="35">
        <f>J763</f>
        <v>848.6568065584685</v>
      </c>
    </row>
    <row r="774" spans="4:12" ht="15">
      <c r="D774" s="3" t="s">
        <v>997</v>
      </c>
      <c r="E774" s="3" t="s">
        <v>820</v>
      </c>
      <c r="F774" s="3" t="s">
        <v>998</v>
      </c>
      <c r="G774" s="3" t="s">
        <v>999</v>
      </c>
      <c r="H774" s="3" t="s">
        <v>1000</v>
      </c>
      <c r="I774" s="3" t="s">
        <v>1001</v>
      </c>
      <c r="J774" s="3" t="s">
        <v>1002</v>
      </c>
      <c r="K774" s="3" t="s">
        <v>1003</v>
      </c>
      <c r="L774" s="3" t="s">
        <v>1004</v>
      </c>
    </row>
    <row r="775" spans="4:12" ht="15.75">
      <c r="D775" s="35">
        <f>D760</f>
        <v>160</v>
      </c>
      <c r="E775" s="35">
        <f>((0.78+1.6*G771)/(F771*H771*D771)^0.5-0.1)*(1-0.37*L771/1000)</f>
        <v>2.0858876957335646</v>
      </c>
      <c r="F775" s="35">
        <f>E775*H771</f>
        <v>0.5216229726201549</v>
      </c>
      <c r="G775" s="35">
        <f>1-EXP(-F775*F771*D771)</f>
        <v>0.14530321875012375</v>
      </c>
      <c r="H775" s="35">
        <f>0.000000049*(0.82+1)/2*G775*L771^3*(1-(K771/L771)^3.6)/(1-K771/L771)</f>
        <v>31.52260291855444</v>
      </c>
      <c r="I775" s="35">
        <f>I773+H775</f>
        <v>91.29431828270464</v>
      </c>
      <c r="J775" s="35">
        <f>1/(1/I775+K773+1/J773)</f>
        <v>60.54109685569251</v>
      </c>
      <c r="K775" s="35">
        <f>L771-L773</f>
        <v>357.31604506824476</v>
      </c>
      <c r="L775" s="35">
        <f>J775*D775*K775/D773</f>
        <v>216.32305292569598</v>
      </c>
    </row>
    <row r="776" spans="4:12" ht="15.75">
      <c r="D776" s="1" t="s">
        <v>1104</v>
      </c>
      <c r="L776" s="18"/>
    </row>
    <row r="777" spans="4:10" ht="15">
      <c r="D777" s="3" t="s">
        <v>1006</v>
      </c>
      <c r="E777" s="3" t="s">
        <v>109</v>
      </c>
      <c r="F777" s="3" t="s">
        <v>840</v>
      </c>
      <c r="G777" s="3" t="s">
        <v>1007</v>
      </c>
      <c r="H777" s="3" t="s">
        <v>1008</v>
      </c>
      <c r="I777" s="3" t="s">
        <v>544</v>
      </c>
      <c r="J777" s="3" t="s">
        <v>996</v>
      </c>
    </row>
    <row r="778" spans="4:10" ht="15.75">
      <c r="D778" s="35">
        <f>H763</f>
        <v>851.9187484788018</v>
      </c>
      <c r="E778" s="35">
        <f>E763</f>
        <v>100</v>
      </c>
      <c r="F778" s="35">
        <f>F763</f>
        <v>0.994</v>
      </c>
      <c r="G778" s="35">
        <f>L775*F778</f>
        <v>215.0251146081418</v>
      </c>
      <c r="H778" s="35">
        <f>D778+G778*D773/K769</f>
        <v>872.4077502869585</v>
      </c>
      <c r="I778" s="35">
        <f>3074.3-3.1077*E778-2.3864*10^7*H778^-1.3+22437.3*E778*H778^-1.3+0.0041697*E778^2+4.8476*10^10*H778^-2.6-177649*E778^2*H778^-2.6</f>
        <v>610.3693454715875</v>
      </c>
      <c r="J778" s="35">
        <f>I778+273</f>
        <v>883.3693454715875</v>
      </c>
    </row>
    <row r="779" ht="15">
      <c r="D779" s="1" t="s">
        <v>1009</v>
      </c>
    </row>
    <row r="780" spans="4:10" ht="15.75">
      <c r="D780" s="3" t="s">
        <v>1010</v>
      </c>
      <c r="E780" s="3" t="s">
        <v>706</v>
      </c>
      <c r="F780" s="3" t="s">
        <v>699</v>
      </c>
      <c r="G780" s="7" t="s">
        <v>645</v>
      </c>
      <c r="H780" s="1" t="s">
        <v>695</v>
      </c>
      <c r="I780" s="3" t="s">
        <v>1011</v>
      </c>
      <c r="J780" s="3" t="s">
        <v>1012</v>
      </c>
    </row>
    <row r="781" spans="4:10" ht="15.75">
      <c r="D781" s="35">
        <f>I766</f>
        <v>334.75148360368564</v>
      </c>
      <c r="E781" s="35">
        <f>E766</f>
        <v>1.2766326530612244</v>
      </c>
      <c r="F781" s="35">
        <f>E773</f>
        <v>15.171710204081633</v>
      </c>
      <c r="G781" s="35">
        <f>G766</f>
        <v>0.07455982119245029</v>
      </c>
      <c r="H781" s="35">
        <f>H766</f>
        <v>0.02</v>
      </c>
      <c r="I781" s="35">
        <f>D781-L775/F781</f>
        <v>320.49316664298476</v>
      </c>
      <c r="J781" s="35">
        <f>-17.5+3.51*I781+38.864*E781^-0.5-0.30038*I781*E781^-0.5+0.0044766*I781^2-23.072/E781-0.000058066*I781^2/E781-0.010324*I781^1.9+IF(I781&lt;200,1.6-1.87*I781^0.3+0.2012*E781-21.75*H781+0.302*I781^0.6,-0.19-0.0006295*I781+0.7193*E781^-0.4+41.38*H781-0.4254*I781*E781^-0.4*H781)</f>
        <v>896.78277455433</v>
      </c>
    </row>
    <row r="783" spans="3:12" ht="15.75">
      <c r="C783" s="4">
        <v>5</v>
      </c>
      <c r="E783" s="1" t="s">
        <v>1102</v>
      </c>
      <c r="K783" s="12" t="s">
        <v>984</v>
      </c>
      <c r="L783" s="12" t="s">
        <v>985</v>
      </c>
    </row>
    <row r="784" spans="3:12" ht="15.75">
      <c r="C784" s="1" t="s">
        <v>986</v>
      </c>
      <c r="D784" s="1" t="s">
        <v>987</v>
      </c>
      <c r="K784" s="39">
        <f>K769</f>
        <v>167914.56538212864</v>
      </c>
      <c r="L784" s="17">
        <v>0.1171</v>
      </c>
    </row>
    <row r="785" spans="4:12" ht="15">
      <c r="D785" s="3" t="s">
        <v>815</v>
      </c>
      <c r="E785" s="3" t="s">
        <v>988</v>
      </c>
      <c r="F785" s="3" t="s">
        <v>817</v>
      </c>
      <c r="G785" s="3" t="s">
        <v>102</v>
      </c>
      <c r="H785" s="3" t="s">
        <v>647</v>
      </c>
      <c r="I785" s="3" t="s">
        <v>989</v>
      </c>
      <c r="J785" s="3" t="s">
        <v>990</v>
      </c>
      <c r="K785" s="3" t="s">
        <v>991</v>
      </c>
      <c r="L785" s="3" t="s">
        <v>992</v>
      </c>
    </row>
    <row r="786" spans="4:12" ht="15.75">
      <c r="D786" s="35">
        <f aca="true" t="shared" si="55" ref="D786:J786">D771</f>
        <v>0.301</v>
      </c>
      <c r="E786" s="35">
        <f t="shared" si="55"/>
        <v>30.4</v>
      </c>
      <c r="F786" s="35">
        <f t="shared" si="55"/>
        <v>1</v>
      </c>
      <c r="G786" s="35">
        <f t="shared" si="55"/>
        <v>0.17551259339011457</v>
      </c>
      <c r="H786" s="35">
        <f t="shared" si="55"/>
        <v>0.25007241458256485</v>
      </c>
      <c r="I786" s="35">
        <f t="shared" si="55"/>
        <v>13.54</v>
      </c>
      <c r="J786" s="35">
        <f t="shared" si="55"/>
        <v>0.64</v>
      </c>
      <c r="K786" s="35">
        <f>L788+(K788+1/J788)*L790*D788/D790</f>
        <v>978.5241264151756</v>
      </c>
      <c r="L786" s="35">
        <f>J781+273</f>
        <v>1169.78277455433</v>
      </c>
    </row>
    <row r="787" spans="4:12" ht="15">
      <c r="D787" s="3" t="s">
        <v>835</v>
      </c>
      <c r="E787" s="3" t="s">
        <v>699</v>
      </c>
      <c r="F787" s="3" t="s">
        <v>544</v>
      </c>
      <c r="G787" s="3" t="s">
        <v>209</v>
      </c>
      <c r="H787" s="3" t="s">
        <v>206</v>
      </c>
      <c r="I787" s="3" t="s">
        <v>993</v>
      </c>
      <c r="J787" s="3" t="s">
        <v>994</v>
      </c>
      <c r="K787" s="3" t="s">
        <v>995</v>
      </c>
      <c r="L787" s="3" t="s">
        <v>996</v>
      </c>
    </row>
    <row r="788" spans="4:12" ht="15.75">
      <c r="D788" s="35">
        <f>D773</f>
        <v>16000</v>
      </c>
      <c r="E788" s="35">
        <f>E773</f>
        <v>15.171710204081633</v>
      </c>
      <c r="F788" s="35">
        <f>L786-273</f>
        <v>896.78277455433</v>
      </c>
      <c r="G788" s="35">
        <f>D788*E788/(3600*E786)*(F788+273)/273</f>
        <v>9.504319161828102</v>
      </c>
      <c r="H788" s="35">
        <f>1.1077-0.002944*F788^0.7+0.67936*G786+0.0050854*F788^0.7*G786+0.0000089737*F788^1.4-2.4659*G786^2-0.000046377*F788^1.4*G786^2+23.168*F788^-0.1*G786^4</f>
        <v>1.02548048967644</v>
      </c>
      <c r="I788" s="35">
        <f>I786*H788*G788^J786</f>
        <v>58.669922427126274</v>
      </c>
      <c r="J788" s="35">
        <f>L784*K784^0.8</f>
        <v>1772.6687587714298</v>
      </c>
      <c r="K788" s="35">
        <f>K773</f>
        <v>0.005</v>
      </c>
      <c r="L788" s="35">
        <f>J778</f>
        <v>883.3693454715875</v>
      </c>
    </row>
    <row r="789" spans="4:12" ht="15">
      <c r="D789" s="3" t="s">
        <v>997</v>
      </c>
      <c r="E789" s="3" t="s">
        <v>820</v>
      </c>
      <c r="F789" s="3" t="s">
        <v>998</v>
      </c>
      <c r="G789" s="3" t="s">
        <v>999</v>
      </c>
      <c r="H789" s="3" t="s">
        <v>1000</v>
      </c>
      <c r="I789" s="3" t="s">
        <v>1001</v>
      </c>
      <c r="J789" s="3" t="s">
        <v>1002</v>
      </c>
      <c r="K789" s="3" t="s">
        <v>1003</v>
      </c>
      <c r="L789" s="3" t="s">
        <v>1004</v>
      </c>
    </row>
    <row r="790" spans="4:12" ht="15.75">
      <c r="D790" s="35">
        <f>D775</f>
        <v>160</v>
      </c>
      <c r="E790" s="35">
        <f>((0.78+1.6*G786)/(F786*H786*D786)^0.5-0.1)*(1-0.37*L786/1000)</f>
        <v>2.136323274618201</v>
      </c>
      <c r="F790" s="35">
        <f>E790*H786</f>
        <v>0.5342355196127053</v>
      </c>
      <c r="G790" s="35">
        <f>1-EXP(-F790*F786*D786)</f>
        <v>0.1485418182873025</v>
      </c>
      <c r="H790" s="35">
        <f>0.000000049*(0.82+1)/2*G790*L786^3*(1-(K786/L786)^3.6)/(1-K786/L786)</f>
        <v>30.745606898640567</v>
      </c>
      <c r="I790" s="35">
        <f>I788+H790</f>
        <v>89.41552932576684</v>
      </c>
      <c r="J790" s="35">
        <f>1/(1/I790+K788+1/J788)</f>
        <v>59.709118096388565</v>
      </c>
      <c r="K790" s="35">
        <f>L786-L788</f>
        <v>286.4134290827425</v>
      </c>
      <c r="L790" s="35">
        <f>J790*D790*K790/D788</f>
        <v>171.0149326149308</v>
      </c>
    </row>
    <row r="791" spans="4:12" ht="15.75">
      <c r="D791" s="1" t="s">
        <v>1104</v>
      </c>
      <c r="L791" s="18"/>
    </row>
    <row r="792" spans="4:10" ht="15">
      <c r="D792" s="3" t="s">
        <v>1006</v>
      </c>
      <c r="E792" s="3" t="s">
        <v>109</v>
      </c>
      <c r="F792" s="3" t="s">
        <v>840</v>
      </c>
      <c r="G792" s="3" t="s">
        <v>1007</v>
      </c>
      <c r="H792" s="3" t="s">
        <v>1008</v>
      </c>
      <c r="I792" s="3" t="s">
        <v>544</v>
      </c>
      <c r="J792" s="3" t="s">
        <v>996</v>
      </c>
    </row>
    <row r="793" spans="4:10" ht="15.75">
      <c r="D793" s="35">
        <f>H778</f>
        <v>872.4077502869585</v>
      </c>
      <c r="E793" s="35">
        <f>E778</f>
        <v>100</v>
      </c>
      <c r="F793" s="35">
        <f>F778</f>
        <v>0.994</v>
      </c>
      <c r="G793" s="35">
        <f>L790*F793</f>
        <v>169.98884301924122</v>
      </c>
      <c r="H793" s="35">
        <f>D793+G793*D788/K784</f>
        <v>888.6054010513117</v>
      </c>
      <c r="I793" s="35">
        <f>3074.3-3.1077*E793-2.3864*10^7*H793^-1.3+22437.3*E793*H793^-1.3+0.0041697*E793^2+4.8476*10^10*H793^-2.6-177649*E793^2*H793^-2.6</f>
        <v>637.884513226584</v>
      </c>
      <c r="J793" s="35">
        <f>I793+273</f>
        <v>910.884513226584</v>
      </c>
    </row>
    <row r="794" ht="15">
      <c r="D794" s="1" t="s">
        <v>1009</v>
      </c>
    </row>
    <row r="795" spans="4:10" ht="15.75">
      <c r="D795" s="3" t="s">
        <v>1010</v>
      </c>
      <c r="E795" s="3" t="s">
        <v>706</v>
      </c>
      <c r="F795" s="3" t="s">
        <v>699</v>
      </c>
      <c r="G795" s="7" t="s">
        <v>645</v>
      </c>
      <c r="H795" s="1" t="s">
        <v>695</v>
      </c>
      <c r="I795" s="3" t="s">
        <v>1011</v>
      </c>
      <c r="J795" s="3" t="s">
        <v>1012</v>
      </c>
    </row>
    <row r="796" spans="4:10" ht="15.75">
      <c r="D796" s="35">
        <f>I781</f>
        <v>320.49316664298476</v>
      </c>
      <c r="E796" s="35">
        <f>E781</f>
        <v>1.2766326530612244</v>
      </c>
      <c r="F796" s="35">
        <f>E788</f>
        <v>15.171710204081633</v>
      </c>
      <c r="G796" s="35">
        <f>G781</f>
        <v>0.07455982119245029</v>
      </c>
      <c r="H796" s="35">
        <f>H781</f>
        <v>0.02</v>
      </c>
      <c r="I796" s="35">
        <f>D796-L790/F796</f>
        <v>309.2212051887696</v>
      </c>
      <c r="J796" s="35">
        <f>-17.5+3.51*I796+38.864*E796^-0.5-0.30038*I796*E796^-0.5+0.0044766*I796^2-23.072/E796-0.000058066*I796^2/E796-0.010324*I796^1.9+IF(I796&lt;200,1.6-1.87*I796^0.3+0.2012*E796-21.75*H796+0.302*I796^0.6,-0.19-0.0006295*I796+0.7193*E796^-0.4+41.38*H796-0.4254*I796*E796^-0.4*H796)</f>
        <v>868.0216258378916</v>
      </c>
    </row>
    <row r="797" ht="15">
      <c r="F797" s="1" t="s">
        <v>1076</v>
      </c>
    </row>
    <row r="798" spans="11:12" ht="15">
      <c r="K798" s="3" t="s">
        <v>1006</v>
      </c>
      <c r="L798" s="3" t="s">
        <v>996</v>
      </c>
    </row>
    <row r="799" spans="5:12" ht="15.75">
      <c r="E799" s="2" t="s">
        <v>1077</v>
      </c>
      <c r="F799" s="12" t="s">
        <v>1078</v>
      </c>
      <c r="K799" s="4">
        <v>684.0812730222092</v>
      </c>
      <c r="L799" s="4">
        <v>332.63771714387</v>
      </c>
    </row>
    <row r="800" spans="4:5" ht="15">
      <c r="D800" s="2" t="s">
        <v>1079</v>
      </c>
      <c r="E800" s="1" t="s">
        <v>1080</v>
      </c>
    </row>
    <row r="801" spans="4:10" ht="15.75">
      <c r="D801" s="18"/>
      <c r="E801" s="18"/>
      <c r="F801" s="18"/>
      <c r="G801" s="18"/>
      <c r="H801" s="3" t="s">
        <v>109</v>
      </c>
      <c r="I801" s="7" t="s">
        <v>1008</v>
      </c>
      <c r="J801" s="7" t="s">
        <v>1075</v>
      </c>
    </row>
    <row r="802" spans="8:10" ht="15">
      <c r="H802" s="4">
        <v>100</v>
      </c>
      <c r="I802" s="4">
        <v>684.0812730222092</v>
      </c>
      <c r="J802" s="4">
        <v>332.63771714387</v>
      </c>
    </row>
    <row r="804" ht="15">
      <c r="D804" s="1" t="s">
        <v>1081</v>
      </c>
    </row>
    <row r="805" spans="4:12" ht="15.75">
      <c r="D805" s="7" t="s">
        <v>1066</v>
      </c>
      <c r="E805" s="7" t="s">
        <v>1067</v>
      </c>
      <c r="F805" s="7" t="s">
        <v>1010</v>
      </c>
      <c r="G805" s="7" t="s">
        <v>1068</v>
      </c>
      <c r="H805" s="7" t="s">
        <v>1069</v>
      </c>
      <c r="I805" s="7" t="s">
        <v>1070</v>
      </c>
      <c r="J805" s="7" t="s">
        <v>1071</v>
      </c>
      <c r="K805" s="7" t="s">
        <v>1036</v>
      </c>
      <c r="L805" s="1" t="s">
        <v>695</v>
      </c>
    </row>
    <row r="806" spans="4:12" ht="15.75">
      <c r="D806" s="4">
        <v>0.04</v>
      </c>
      <c r="E806" s="35">
        <f>F796</f>
        <v>15.171710204081633</v>
      </c>
      <c r="F806" s="35">
        <f>I796</f>
        <v>309.2212051887696</v>
      </c>
      <c r="G806" s="35">
        <f>G796</f>
        <v>0.07455982119245029</v>
      </c>
      <c r="H806" s="35">
        <f>H716</f>
        <v>0.7100393383066066</v>
      </c>
      <c r="I806" s="35">
        <f>G786</f>
        <v>0.17551259339011457</v>
      </c>
      <c r="J806" s="35">
        <f>J716</f>
        <v>0.04078371071400611</v>
      </c>
      <c r="K806" s="35">
        <f>K714</f>
        <v>10</v>
      </c>
      <c r="L806" s="35">
        <f>H796</f>
        <v>0.02</v>
      </c>
    </row>
    <row r="807" spans="4:12" ht="15.75">
      <c r="D807" s="7" t="s">
        <v>1072</v>
      </c>
      <c r="E807" s="7" t="s">
        <v>699</v>
      </c>
      <c r="F807" s="7" t="s">
        <v>1011</v>
      </c>
      <c r="G807" s="7" t="s">
        <v>645</v>
      </c>
      <c r="H807" s="7" t="s">
        <v>644</v>
      </c>
      <c r="I807" s="7" t="s">
        <v>102</v>
      </c>
      <c r="J807" s="7" t="s">
        <v>646</v>
      </c>
      <c r="K807" s="3" t="s">
        <v>706</v>
      </c>
      <c r="L807" s="7" t="s">
        <v>1012</v>
      </c>
    </row>
    <row r="808" spans="4:12" ht="15.75">
      <c r="D808" s="35">
        <f>D806*9.51/(1-L806)</f>
        <v>0.3881632653061225</v>
      </c>
      <c r="E808" s="35">
        <f>E806+D808</f>
        <v>15.559873469387755</v>
      </c>
      <c r="F808" s="35">
        <f>(F806*E806+K806*D808)/E808</f>
        <v>301.75670489682244</v>
      </c>
      <c r="G808" s="35">
        <f>G806*E806/E808</f>
        <v>0.07269981997125521</v>
      </c>
      <c r="H808" s="35">
        <f>(H806*E806+0.79*D808)/E808</f>
        <v>0.7120340712072313</v>
      </c>
      <c r="I808" s="35">
        <f>(I806*E806+L806*D808)/E808</f>
        <v>0.17163310965489723</v>
      </c>
      <c r="J808" s="35">
        <f>(J806*E806+0.21*D808)/E808</f>
        <v>0.045005052714084816</v>
      </c>
      <c r="K808" s="35">
        <f>1+J808*1.01/(G808*0.21*9.51)</f>
        <v>1.3130758017492712</v>
      </c>
      <c r="L808" s="35">
        <f>-17.5+3.51*F808+38.864*K808^-0.5-0.30038*F808*K808^-0.5+0.0044766*F808^2-23.072/K808-0.000058066*F808^2/K808-0.010324*F808^1.9+IF(F808&lt;200,1.6-1.87*F808^0.3+0.2012*K808-21.75*L806+0.302*F808^0.6,-0.19-0.0006295*F808+0.7193*K808^-0.4+41.38*L806-0.4254*F808*K808^-0.4*L806)</f>
        <v>850.1753817819738</v>
      </c>
    </row>
    <row r="810" spans="3:12" ht="15.75">
      <c r="C810" s="4">
        <v>1</v>
      </c>
      <c r="E810" s="1" t="s">
        <v>1102</v>
      </c>
      <c r="J810" s="1" t="s">
        <v>1103</v>
      </c>
      <c r="K810" s="12" t="s">
        <v>984</v>
      </c>
      <c r="L810" s="12" t="s">
        <v>985</v>
      </c>
    </row>
    <row r="811" spans="4:12" ht="15.75">
      <c r="D811" s="1" t="s">
        <v>987</v>
      </c>
      <c r="K811" s="39">
        <f>G721</f>
        <v>152914.56538212864</v>
      </c>
      <c r="L811" s="17">
        <v>0.1171</v>
      </c>
    </row>
    <row r="812" spans="4:12" ht="15">
      <c r="D812" s="3" t="s">
        <v>815</v>
      </c>
      <c r="E812" s="3" t="s">
        <v>988</v>
      </c>
      <c r="F812" s="3" t="s">
        <v>817</v>
      </c>
      <c r="G812" s="3" t="s">
        <v>102</v>
      </c>
      <c r="H812" s="3" t="s">
        <v>647</v>
      </c>
      <c r="I812" s="3" t="s">
        <v>989</v>
      </c>
      <c r="J812" s="3" t="s">
        <v>990</v>
      </c>
      <c r="K812" s="3" t="s">
        <v>991</v>
      </c>
      <c r="L812" s="3" t="s">
        <v>992</v>
      </c>
    </row>
    <row r="813" spans="4:12" ht="15.75">
      <c r="D813" s="4">
        <v>0.301</v>
      </c>
      <c r="E813" s="4">
        <v>30.4</v>
      </c>
      <c r="F813" s="35">
        <f>L717</f>
        <v>1</v>
      </c>
      <c r="G813" s="35">
        <f>I808</f>
        <v>0.17163310965489723</v>
      </c>
      <c r="H813" s="35">
        <f>G813+G808</f>
        <v>0.24433292962615244</v>
      </c>
      <c r="I813" s="4">
        <v>13.54</v>
      </c>
      <c r="J813" s="4">
        <v>0.64</v>
      </c>
      <c r="K813" s="35">
        <f>L815+(K815+1/J815)*L817*D815/D817</f>
        <v>844.083793287054</v>
      </c>
      <c r="L813" s="35">
        <f>273+L808</f>
        <v>1123.1753817819738</v>
      </c>
    </row>
    <row r="814" spans="4:12" ht="15">
      <c r="D814" s="3" t="s">
        <v>835</v>
      </c>
      <c r="E814" s="3" t="s">
        <v>699</v>
      </c>
      <c r="F814" s="3" t="s">
        <v>544</v>
      </c>
      <c r="G814" s="3" t="s">
        <v>209</v>
      </c>
      <c r="H814" s="3" t="s">
        <v>206</v>
      </c>
      <c r="I814" s="3" t="s">
        <v>993</v>
      </c>
      <c r="J814" s="3" t="s">
        <v>994</v>
      </c>
      <c r="K814" s="3" t="s">
        <v>995</v>
      </c>
      <c r="L814" s="3" t="s">
        <v>996</v>
      </c>
    </row>
    <row r="815" spans="4:12" ht="15.75">
      <c r="D815" s="35">
        <f>J717</f>
        <v>16000</v>
      </c>
      <c r="E815" s="35">
        <f>E808</f>
        <v>15.559873469387755</v>
      </c>
      <c r="F815" s="35">
        <f>L813-273</f>
        <v>850.1753817819738</v>
      </c>
      <c r="G815" s="35">
        <f>D815*E815/(3600*E813)*(F815+273)/273</f>
        <v>9.359117250636633</v>
      </c>
      <c r="H815" s="35">
        <f>1.1077-0.002944*F815^0.7+0.67936*G813+0.0050854*F815^0.7*G813+0.0000089737*F815^1.4-2.4659*G813^2-0.000046377*F815^1.4*G813^2+23.168*F815^-0.1*G813^4</f>
        <v>1.025223092287139</v>
      </c>
      <c r="I815" s="35">
        <f>I813*H815*G815^J813</f>
        <v>58.080102280322166</v>
      </c>
      <c r="J815" s="35">
        <f>L811*K811^0.8</f>
        <v>1644.8109131775936</v>
      </c>
      <c r="K815" s="4">
        <v>0.005</v>
      </c>
      <c r="L815" s="35">
        <f>J835</f>
        <v>714.76098846188</v>
      </c>
    </row>
    <row r="816" spans="4:12" ht="15">
      <c r="D816" s="3" t="s">
        <v>997</v>
      </c>
      <c r="E816" s="3" t="s">
        <v>820</v>
      </c>
      <c r="F816" s="3" t="s">
        <v>998</v>
      </c>
      <c r="G816" s="3" t="s">
        <v>999</v>
      </c>
      <c r="H816" s="3" t="s">
        <v>1000</v>
      </c>
      <c r="I816" s="3" t="s">
        <v>1001</v>
      </c>
      <c r="J816" s="3" t="s">
        <v>1002</v>
      </c>
      <c r="K816" s="3" t="s">
        <v>1003</v>
      </c>
      <c r="L816" s="3" t="s">
        <v>1004</v>
      </c>
    </row>
    <row r="817" spans="4:12" ht="15.75">
      <c r="D817" s="35">
        <f>1600/10</f>
        <v>160</v>
      </c>
      <c r="E817" s="35">
        <f>((0.78+1.6*G813)/(F813*H813*D813)^0.5-0.1)*(1-0.37*L813/1000)</f>
        <v>2.214286877167674</v>
      </c>
      <c r="F817" s="35">
        <f>E817*H813</f>
        <v>0.5410231997311221</v>
      </c>
      <c r="G817" s="35">
        <f>1-EXP(-F817*F813*D813)</f>
        <v>0.15027964956572448</v>
      </c>
      <c r="H817" s="35">
        <f>0.000000049*(0.82+1)/2*G817*L813^3*(1-(K813/L813)^3.6)/(1-K813/L813)</f>
        <v>24.546992534248314</v>
      </c>
      <c r="I817" s="35">
        <f>I815+H817</f>
        <v>82.62709481457048</v>
      </c>
      <c r="J817" s="35">
        <f>1/(1/I817+K815+1/J815)</f>
        <v>56.463551534152685</v>
      </c>
      <c r="K817" s="35">
        <f>L813-L815</f>
        <v>408.41439332009384</v>
      </c>
      <c r="L817" s="35">
        <f>J817*D817*K817/D815</f>
        <v>230.6052714451882</v>
      </c>
    </row>
    <row r="818" spans="4:12" ht="15.75">
      <c r="D818" s="1" t="s">
        <v>1104</v>
      </c>
      <c r="L818" s="18"/>
    </row>
    <row r="819" spans="4:10" ht="15">
      <c r="D819" s="3" t="s">
        <v>1006</v>
      </c>
      <c r="E819" s="3" t="s">
        <v>109</v>
      </c>
      <c r="F819" s="3" t="s">
        <v>840</v>
      </c>
      <c r="G819" s="3" t="s">
        <v>1007</v>
      </c>
      <c r="H819" s="3" t="s">
        <v>1008</v>
      </c>
      <c r="I819" s="3" t="s">
        <v>544</v>
      </c>
      <c r="J819" s="3" t="s">
        <v>996</v>
      </c>
    </row>
    <row r="820" spans="4:10" ht="15.75">
      <c r="D820" s="35">
        <f>H835</f>
        <v>769.6186275415438</v>
      </c>
      <c r="E820" s="35">
        <f>E835</f>
        <v>100</v>
      </c>
      <c r="F820" s="35">
        <f>F835</f>
        <v>0.994</v>
      </c>
      <c r="G820" s="35">
        <f>L817*F820</f>
        <v>229.22163981651707</v>
      </c>
      <c r="H820" s="35">
        <f>D820+G820*D815/K811</f>
        <v>793.6029107123404</v>
      </c>
      <c r="I820" s="35">
        <f>3074.3-3.1077*E820-2.3864*10^7*H820^-1.3+22437.3*E820*H820^-1.3+0.0041697*E820^2+4.8476*10^10*H820^-2.6-177649*E820^2*H820^-2.6</f>
        <v>479.2466906558029</v>
      </c>
      <c r="J820" s="35">
        <f>I820+273</f>
        <v>752.2466906558029</v>
      </c>
    </row>
    <row r="821" ht="15">
      <c r="D821" s="1" t="s">
        <v>1009</v>
      </c>
    </row>
    <row r="822" spans="4:10" ht="15.75">
      <c r="D822" s="3" t="s">
        <v>1010</v>
      </c>
      <c r="E822" s="3" t="s">
        <v>706</v>
      </c>
      <c r="F822" s="3" t="s">
        <v>699</v>
      </c>
      <c r="G822" s="7" t="s">
        <v>645</v>
      </c>
      <c r="H822" s="1" t="s">
        <v>695</v>
      </c>
      <c r="I822" s="3" t="s">
        <v>1011</v>
      </c>
      <c r="J822" s="3" t="s">
        <v>1012</v>
      </c>
    </row>
    <row r="823" spans="4:10" ht="15.75">
      <c r="D823" s="35">
        <f>F808</f>
        <v>301.75670489682244</v>
      </c>
      <c r="E823" s="35">
        <f>K808</f>
        <v>1.3130758017492712</v>
      </c>
      <c r="F823" s="35">
        <f>E815</f>
        <v>15.559873469387755</v>
      </c>
      <c r="G823" s="35">
        <f>G808</f>
        <v>0.07269981997125521</v>
      </c>
      <c r="H823" s="35">
        <f>L806</f>
        <v>0.02</v>
      </c>
      <c r="I823" s="35">
        <f>D823-L817/F823</f>
        <v>286.9361941838737</v>
      </c>
      <c r="J823" s="35">
        <f>-17.5+3.51*I823+38.864*E823^-0.5-0.30038*I823*E823^-0.5+0.0044766*I823^2-23.072/E823-0.000058066*I823^2/E823-0.010324*I823^1.9+IF(I823&lt;200,1.6-1.87*I823^0.3+0.2012*E823-21.75*H823+0.302*I823^0.6,-0.19-0.0006295*I823+0.7193*E823^-0.4+41.38*H823-0.4254*I823*E823^-0.4*H823)</f>
        <v>811.9570720673399</v>
      </c>
    </row>
    <row r="825" spans="3:12" ht="15.75">
      <c r="C825" s="4">
        <v>2</v>
      </c>
      <c r="E825" s="1" t="s">
        <v>1102</v>
      </c>
      <c r="K825" s="12" t="s">
        <v>984</v>
      </c>
      <c r="L825" s="12" t="s">
        <v>985</v>
      </c>
    </row>
    <row r="826" spans="4:12" ht="15.75">
      <c r="D826" s="1" t="s">
        <v>987</v>
      </c>
      <c r="K826" s="39">
        <f>K811</f>
        <v>152914.56538212864</v>
      </c>
      <c r="L826" s="17">
        <v>0.1171</v>
      </c>
    </row>
    <row r="827" spans="4:12" ht="15">
      <c r="D827" s="3" t="s">
        <v>815</v>
      </c>
      <c r="E827" s="3" t="s">
        <v>988</v>
      </c>
      <c r="F827" s="3" t="s">
        <v>817</v>
      </c>
      <c r="G827" s="3" t="s">
        <v>102</v>
      </c>
      <c r="H827" s="3" t="s">
        <v>647</v>
      </c>
      <c r="I827" s="3" t="s">
        <v>989</v>
      </c>
      <c r="J827" s="3" t="s">
        <v>990</v>
      </c>
      <c r="K827" s="3" t="s">
        <v>991</v>
      </c>
      <c r="L827" s="3" t="s">
        <v>992</v>
      </c>
    </row>
    <row r="828" spans="4:12" ht="15.75">
      <c r="D828" s="35">
        <f aca="true" t="shared" si="56" ref="D828:J828">D813</f>
        <v>0.301</v>
      </c>
      <c r="E828" s="35">
        <f t="shared" si="56"/>
        <v>30.4</v>
      </c>
      <c r="F828" s="35">
        <f t="shared" si="56"/>
        <v>1</v>
      </c>
      <c r="G828" s="35">
        <f t="shared" si="56"/>
        <v>0.17163310965489723</v>
      </c>
      <c r="H828" s="35">
        <f t="shared" si="56"/>
        <v>0.24433292962615244</v>
      </c>
      <c r="I828" s="35">
        <f t="shared" si="56"/>
        <v>13.54</v>
      </c>
      <c r="J828" s="35">
        <f t="shared" si="56"/>
        <v>0.64</v>
      </c>
      <c r="K828" s="35">
        <f>L830+(K830+1/J830)*L832*D830/D832</f>
        <v>805.1072278144678</v>
      </c>
      <c r="L828" s="35">
        <f>273+J823</f>
        <v>1084.95707206734</v>
      </c>
    </row>
    <row r="829" spans="4:12" ht="15">
      <c r="D829" s="3" t="s">
        <v>835</v>
      </c>
      <c r="E829" s="3" t="s">
        <v>699</v>
      </c>
      <c r="F829" s="3" t="s">
        <v>544</v>
      </c>
      <c r="G829" s="3" t="s">
        <v>209</v>
      </c>
      <c r="H829" s="3" t="s">
        <v>206</v>
      </c>
      <c r="I829" s="3" t="s">
        <v>993</v>
      </c>
      <c r="J829" s="3" t="s">
        <v>994</v>
      </c>
      <c r="K829" s="3" t="s">
        <v>995</v>
      </c>
      <c r="L829" s="3" t="s">
        <v>996</v>
      </c>
    </row>
    <row r="830" spans="4:12" ht="15.75">
      <c r="D830" s="35">
        <f>D815</f>
        <v>16000</v>
      </c>
      <c r="E830" s="35">
        <f>E815</f>
        <v>15.559873469387755</v>
      </c>
      <c r="F830" s="35">
        <f>L828-273</f>
        <v>811.95707206734</v>
      </c>
      <c r="G830" s="35">
        <f>D830*E830/(3600*E828)*(F830+273)/273</f>
        <v>9.0406543929724</v>
      </c>
      <c r="H830" s="35">
        <f>1.1077-0.002944*F830^0.7+0.67936*G828+0.0050854*F830^0.7*G828+0.0000089737*F830^1.4-2.4659*G828^2-0.000046377*F830^1.4*G828^2+23.168*F830^-0.1*G828^4</f>
        <v>1.026653590164239</v>
      </c>
      <c r="I830" s="35">
        <f>I828*H830*G830^J828</f>
        <v>56.88666968592179</v>
      </c>
      <c r="J830" s="35">
        <f>L826*K826^0.8</f>
        <v>1644.8109131775936</v>
      </c>
      <c r="K830" s="35">
        <f>K815</f>
        <v>0.005</v>
      </c>
      <c r="L830" s="35">
        <f>J850</f>
        <v>680.7871040881926</v>
      </c>
    </row>
    <row r="831" spans="4:12" ht="15">
      <c r="D831" s="3" t="s">
        <v>997</v>
      </c>
      <c r="E831" s="3" t="s">
        <v>820</v>
      </c>
      <c r="F831" s="3" t="s">
        <v>998</v>
      </c>
      <c r="G831" s="3" t="s">
        <v>999</v>
      </c>
      <c r="H831" s="3" t="s">
        <v>1000</v>
      </c>
      <c r="I831" s="3" t="s">
        <v>1001</v>
      </c>
      <c r="J831" s="3" t="s">
        <v>1002</v>
      </c>
      <c r="K831" s="3" t="s">
        <v>1003</v>
      </c>
      <c r="L831" s="3" t="s">
        <v>1004</v>
      </c>
    </row>
    <row r="832" spans="4:12" ht="15.75">
      <c r="D832" s="35">
        <f>D817</f>
        <v>160</v>
      </c>
      <c r="E832" s="35">
        <f>((0.78+1.6*G828)/(F828*H828*D828)^0.5-0.1)*(1-0.37*L828/1000)</f>
        <v>2.267863855892748</v>
      </c>
      <c r="F832" s="35">
        <f>E832*H828</f>
        <v>0.5541138199035375</v>
      </c>
      <c r="G832" s="35">
        <f>1-EXP(-F832*F828*D828)</f>
        <v>0.15362119520966155</v>
      </c>
      <c r="H832" s="35">
        <f>0.000000049*(0.82+1)/2*G832*L828^3*(1-(K828/L828)^3.6)/(1-K828/L828)</f>
        <v>22.328887183292743</v>
      </c>
      <c r="I832" s="35">
        <f>I830+H832</f>
        <v>79.21555686921454</v>
      </c>
      <c r="J832" s="35">
        <f>1/(1/I832+K830+1/J830)</f>
        <v>54.8493530162488</v>
      </c>
      <c r="K832" s="35">
        <f>L828-L830</f>
        <v>404.1699679791475</v>
      </c>
      <c r="L832" s="35">
        <f>J832*D832*K832/D830</f>
        <v>221.68461252254235</v>
      </c>
    </row>
    <row r="833" spans="4:12" ht="15.75">
      <c r="D833" s="1" t="s">
        <v>1104</v>
      </c>
      <c r="L833" s="18"/>
    </row>
    <row r="834" spans="4:10" ht="15">
      <c r="D834" s="3" t="s">
        <v>1006</v>
      </c>
      <c r="E834" s="3" t="s">
        <v>109</v>
      </c>
      <c r="F834" s="3" t="s">
        <v>840</v>
      </c>
      <c r="G834" s="3" t="s">
        <v>1007</v>
      </c>
      <c r="H834" s="3" t="s">
        <v>1008</v>
      </c>
      <c r="I834" s="3" t="s">
        <v>544</v>
      </c>
      <c r="J834" s="3" t="s">
        <v>996</v>
      </c>
    </row>
    <row r="835" spans="4:10" ht="15.75">
      <c r="D835" s="35">
        <f>H850</f>
        <v>746.5621445391039</v>
      </c>
      <c r="E835" s="35">
        <f>E850</f>
        <v>100</v>
      </c>
      <c r="F835" s="35">
        <f>F850</f>
        <v>0.994</v>
      </c>
      <c r="G835" s="35">
        <f>L832*F835</f>
        <v>220.3545048474071</v>
      </c>
      <c r="H835" s="35">
        <f>D835+G835*D830/K826</f>
        <v>769.6186275415437</v>
      </c>
      <c r="I835" s="35">
        <f>3074.3-3.1077*E835-2.3864*10^7*H835^-1.3+22437.3*E835*H835^-1.3+0.0041697*E835^2+4.8476*10^10*H835^-2.6-177649*E835^2*H835^-2.6</f>
        <v>441.76098846187995</v>
      </c>
      <c r="J835" s="35">
        <f>I835+273</f>
        <v>714.76098846188</v>
      </c>
    </row>
    <row r="836" ht="15">
      <c r="D836" s="1" t="s">
        <v>1009</v>
      </c>
    </row>
    <row r="837" spans="4:10" ht="15.75">
      <c r="D837" s="3" t="s">
        <v>1010</v>
      </c>
      <c r="E837" s="3" t="s">
        <v>706</v>
      </c>
      <c r="F837" s="3" t="s">
        <v>699</v>
      </c>
      <c r="G837" s="7" t="s">
        <v>645</v>
      </c>
      <c r="H837" s="1" t="s">
        <v>695</v>
      </c>
      <c r="I837" s="3" t="s">
        <v>1011</v>
      </c>
      <c r="J837" s="3" t="s">
        <v>1012</v>
      </c>
    </row>
    <row r="838" spans="4:10" ht="15.75">
      <c r="D838" s="35">
        <f>I823</f>
        <v>286.9361941838737</v>
      </c>
      <c r="E838" s="35">
        <f>E823</f>
        <v>1.3130758017492712</v>
      </c>
      <c r="F838" s="35">
        <f>E830</f>
        <v>15.559873469387755</v>
      </c>
      <c r="G838" s="35">
        <f>G823</f>
        <v>0.07269981997125521</v>
      </c>
      <c r="H838" s="35">
        <f>H823</f>
        <v>0.02</v>
      </c>
      <c r="I838" s="35">
        <f>D838-L832/F838</f>
        <v>272.6889952616793</v>
      </c>
      <c r="J838" s="35">
        <f>-17.5+3.51*I838+38.864*E838^-0.5-0.30038*I838*E838^-0.5+0.0044766*I838^2-23.072/E838-0.000058066*I838^2/E838-0.010324*I838^1.9+IF(I838&lt;200,1.6-1.87*I838^0.3+0.2012*E838-21.75*H838+0.302*I838^0.6,-0.19-0.0006295*I838+0.7193*E838^-0.4+41.38*H838-0.4254*I838*E838^-0.4*H838)</f>
        <v>774.9771186209722</v>
      </c>
    </row>
    <row r="840" spans="3:12" ht="15.75">
      <c r="C840" s="4">
        <v>3</v>
      </c>
      <c r="E840" s="1" t="s">
        <v>1102</v>
      </c>
      <c r="K840" s="12" t="s">
        <v>984</v>
      </c>
      <c r="L840" s="12" t="s">
        <v>985</v>
      </c>
    </row>
    <row r="841" spans="4:12" ht="15.75">
      <c r="D841" s="1" t="s">
        <v>987</v>
      </c>
      <c r="K841" s="39">
        <f>K826</f>
        <v>152914.56538212864</v>
      </c>
      <c r="L841" s="17">
        <v>0.1171</v>
      </c>
    </row>
    <row r="842" spans="4:12" ht="15">
      <c r="D842" s="3" t="s">
        <v>815</v>
      </c>
      <c r="E842" s="3" t="s">
        <v>988</v>
      </c>
      <c r="F842" s="3" t="s">
        <v>817</v>
      </c>
      <c r="G842" s="3" t="s">
        <v>102</v>
      </c>
      <c r="H842" s="3" t="s">
        <v>647</v>
      </c>
      <c r="I842" s="3" t="s">
        <v>989</v>
      </c>
      <c r="J842" s="3" t="s">
        <v>990</v>
      </c>
      <c r="K842" s="3" t="s">
        <v>991</v>
      </c>
      <c r="L842" s="3" t="s">
        <v>992</v>
      </c>
    </row>
    <row r="843" spans="4:12" ht="15.75">
      <c r="D843" s="35">
        <f aca="true" t="shared" si="57" ref="D843:J843">D828</f>
        <v>0.301</v>
      </c>
      <c r="E843" s="35">
        <f t="shared" si="57"/>
        <v>30.4</v>
      </c>
      <c r="F843" s="35">
        <f t="shared" si="57"/>
        <v>1</v>
      </c>
      <c r="G843" s="35">
        <f t="shared" si="57"/>
        <v>0.17163310965489723</v>
      </c>
      <c r="H843" s="35">
        <f t="shared" si="57"/>
        <v>0.24433292962615244</v>
      </c>
      <c r="I843" s="35">
        <f t="shared" si="57"/>
        <v>13.54</v>
      </c>
      <c r="J843" s="35">
        <f t="shared" si="57"/>
        <v>0.64</v>
      </c>
      <c r="K843" s="35">
        <f>L845+(K845+1/J845)*L847*D845/D847</f>
        <v>769.652359304168</v>
      </c>
      <c r="L843" s="35">
        <f>273+J838</f>
        <v>1047.9771186209723</v>
      </c>
    </row>
    <row r="844" spans="4:12" ht="15">
      <c r="D844" s="3" t="s">
        <v>835</v>
      </c>
      <c r="E844" s="3" t="s">
        <v>699</v>
      </c>
      <c r="F844" s="3" t="s">
        <v>544</v>
      </c>
      <c r="G844" s="3" t="s">
        <v>209</v>
      </c>
      <c r="H844" s="3" t="s">
        <v>206</v>
      </c>
      <c r="I844" s="3" t="s">
        <v>993</v>
      </c>
      <c r="J844" s="3" t="s">
        <v>994</v>
      </c>
      <c r="K844" s="3" t="s">
        <v>995</v>
      </c>
      <c r="L844" s="3" t="s">
        <v>996</v>
      </c>
    </row>
    <row r="845" spans="4:12" ht="15.75">
      <c r="D845" s="35">
        <f>D830</f>
        <v>16000</v>
      </c>
      <c r="E845" s="35">
        <f>E830</f>
        <v>15.559873469387755</v>
      </c>
      <c r="F845" s="35">
        <f>L843-273</f>
        <v>774.9771186209723</v>
      </c>
      <c r="G845" s="35">
        <f>D845*E845/(3600*E843)*(F845+273)/273</f>
        <v>8.732510423792327</v>
      </c>
      <c r="H845" s="35">
        <f>1.1077-0.002944*F845^0.7+0.67936*G843+0.0050854*F845^0.7*G843+0.0000089737*F845^1.4-2.4659*G843^2-0.000046377*F845^1.4*G843^2+23.168*F845^-0.1*G843^4</f>
        <v>1.0282462891131154</v>
      </c>
      <c r="I845" s="35">
        <f>I843*H845*G845^J843</f>
        <v>55.72432895691811</v>
      </c>
      <c r="J845" s="35">
        <f>L841*K841^0.8</f>
        <v>1644.8109131775936</v>
      </c>
      <c r="K845" s="35">
        <f>K830</f>
        <v>0.005</v>
      </c>
      <c r="L845" s="35">
        <f>J865</f>
        <v>650.9407575980877</v>
      </c>
    </row>
    <row r="846" spans="4:12" ht="15">
      <c r="D846" s="3" t="s">
        <v>997</v>
      </c>
      <c r="E846" s="3" t="s">
        <v>820</v>
      </c>
      <c r="F846" s="3" t="s">
        <v>998</v>
      </c>
      <c r="G846" s="3" t="s">
        <v>999</v>
      </c>
      <c r="H846" s="3" t="s">
        <v>1000</v>
      </c>
      <c r="I846" s="3" t="s">
        <v>1001</v>
      </c>
      <c r="J846" s="3" t="s">
        <v>1002</v>
      </c>
      <c r="K846" s="3" t="s">
        <v>1003</v>
      </c>
      <c r="L846" s="3" t="s">
        <v>1004</v>
      </c>
    </row>
    <row r="847" spans="4:12" ht="15.75">
      <c r="D847" s="35">
        <f>D832</f>
        <v>160</v>
      </c>
      <c r="E847" s="35">
        <f>((0.78+1.6*G843)/(F843*H843*D843)^0.5-0.1)*(1-0.37*L843/1000)</f>
        <v>2.3197048241052083</v>
      </c>
      <c r="F847" s="35">
        <f>E847*H843</f>
        <v>0.5667802755415442</v>
      </c>
      <c r="G847" s="35">
        <f>1-EXP(-F847*F843*D843)</f>
        <v>0.15684195805770695</v>
      </c>
      <c r="H847" s="35">
        <f>0.000000049*(0.82+1)/2*G847*L843^3*(1-(K843/L843)^3.6)/(1-K843/L843)</f>
        <v>20.33201377191949</v>
      </c>
      <c r="I847" s="35">
        <f>I845+H847</f>
        <v>76.05634272883759</v>
      </c>
      <c r="J847" s="35">
        <f>1/(1/I847+K845+1/J845)</f>
        <v>53.315931140372264</v>
      </c>
      <c r="K847" s="35">
        <f>L843-L845</f>
        <v>397.03636102288465</v>
      </c>
      <c r="L847" s="35">
        <f>J847*D847*K847/D845</f>
        <v>211.683632845201</v>
      </c>
    </row>
    <row r="848" spans="4:12" ht="15.75">
      <c r="D848" s="1" t="s">
        <v>1104</v>
      </c>
      <c r="L848" s="18"/>
    </row>
    <row r="849" spans="4:10" ht="15">
      <c r="D849" s="3" t="s">
        <v>1006</v>
      </c>
      <c r="E849" s="3" t="s">
        <v>109</v>
      </c>
      <c r="F849" s="3" t="s">
        <v>840</v>
      </c>
      <c r="G849" s="3" t="s">
        <v>1007</v>
      </c>
      <c r="H849" s="3" t="s">
        <v>1008</v>
      </c>
      <c r="I849" s="3" t="s">
        <v>544</v>
      </c>
      <c r="J849" s="3" t="s">
        <v>996</v>
      </c>
    </row>
    <row r="850" spans="4:10" ht="15.75">
      <c r="D850" s="35">
        <f>H865</f>
        <v>724.5458213173297</v>
      </c>
      <c r="E850" s="35">
        <f>E865</f>
        <v>100</v>
      </c>
      <c r="F850" s="35">
        <f>F865</f>
        <v>0.994</v>
      </c>
      <c r="G850" s="35">
        <f>L847*F850</f>
        <v>210.41353104812978</v>
      </c>
      <c r="H850" s="35">
        <f>D850+G850*D845/K841</f>
        <v>746.5621445391039</v>
      </c>
      <c r="I850" s="35">
        <f>3074.3-3.1077*E850-2.3864*10^7*H850^-1.3+22437.3*E850*H850^-1.3+0.0041697*E850^2+4.8476*10^10*H850^-2.6-177649*E850^2*H850^-2.6</f>
        <v>407.7871040881925</v>
      </c>
      <c r="J850" s="35">
        <f>I850+273</f>
        <v>680.7871040881926</v>
      </c>
    </row>
    <row r="851" ht="15">
      <c r="D851" s="1" t="s">
        <v>1009</v>
      </c>
    </row>
    <row r="852" spans="4:10" ht="15.75">
      <c r="D852" s="3" t="s">
        <v>1010</v>
      </c>
      <c r="E852" s="3" t="s">
        <v>706</v>
      </c>
      <c r="F852" s="3" t="s">
        <v>699</v>
      </c>
      <c r="G852" s="7" t="s">
        <v>645</v>
      </c>
      <c r="H852" s="1" t="s">
        <v>695</v>
      </c>
      <c r="I852" s="3" t="s">
        <v>1011</v>
      </c>
      <c r="J852" s="3" t="s">
        <v>1012</v>
      </c>
    </row>
    <row r="853" spans="4:10" ht="15.75">
      <c r="D853" s="35">
        <f>I838</f>
        <v>272.6889952616793</v>
      </c>
      <c r="E853" s="35">
        <f>E838</f>
        <v>1.3130758017492712</v>
      </c>
      <c r="F853" s="35">
        <f>E845</f>
        <v>15.559873469387755</v>
      </c>
      <c r="G853" s="35">
        <f>G838</f>
        <v>0.07269981997125521</v>
      </c>
      <c r="H853" s="35">
        <f>H838</f>
        <v>0.02</v>
      </c>
      <c r="I853" s="35">
        <f>D853-L847/F853</f>
        <v>259.08453804924346</v>
      </c>
      <c r="J853" s="35">
        <f>-17.5+3.51*I853+38.864*E853^-0.5-0.30038*I853*E853^-0.5+0.0044766*I853^2-23.072/E853-0.000058066*I853^2/E853-0.010324*I853^1.9+IF(I853&lt;200,1.6-1.87*I853^0.3+0.2012*E853-21.75*H853+0.302*I853^0.6,-0.19-0.0006295*I853+0.7193*E853^-0.4+41.38*H853-0.4254*I853*E853^-0.4*H853)</f>
        <v>739.4361400199234</v>
      </c>
    </row>
    <row r="855" spans="3:12" ht="15.75">
      <c r="C855" s="4">
        <v>4</v>
      </c>
      <c r="E855" s="1" t="s">
        <v>1102</v>
      </c>
      <c r="K855" s="12" t="s">
        <v>984</v>
      </c>
      <c r="L855" s="12" t="s">
        <v>985</v>
      </c>
    </row>
    <row r="856" spans="4:12" ht="15.75">
      <c r="D856" s="1" t="s">
        <v>987</v>
      </c>
      <c r="K856" s="39">
        <f>K841</f>
        <v>152914.56538212864</v>
      </c>
      <c r="L856" s="17">
        <v>0.1171</v>
      </c>
    </row>
    <row r="857" spans="4:12" ht="15">
      <c r="D857" s="3" t="s">
        <v>815</v>
      </c>
      <c r="E857" s="3" t="s">
        <v>988</v>
      </c>
      <c r="F857" s="3" t="s">
        <v>817</v>
      </c>
      <c r="G857" s="3" t="s">
        <v>102</v>
      </c>
      <c r="H857" s="3" t="s">
        <v>647</v>
      </c>
      <c r="I857" s="3" t="s">
        <v>989</v>
      </c>
      <c r="J857" s="3" t="s">
        <v>990</v>
      </c>
      <c r="K857" s="3" t="s">
        <v>991</v>
      </c>
      <c r="L857" s="3" t="s">
        <v>992</v>
      </c>
    </row>
    <row r="858" spans="4:12" ht="15.75">
      <c r="D858" s="35">
        <f aca="true" t="shared" si="58" ref="D858:J858">D843</f>
        <v>0.301</v>
      </c>
      <c r="E858" s="35">
        <f t="shared" si="58"/>
        <v>30.4</v>
      </c>
      <c r="F858" s="35">
        <f t="shared" si="58"/>
        <v>1</v>
      </c>
      <c r="G858" s="35">
        <f t="shared" si="58"/>
        <v>0.17163310965489723</v>
      </c>
      <c r="H858" s="35">
        <f t="shared" si="58"/>
        <v>0.24433292962615244</v>
      </c>
      <c r="I858" s="35">
        <f t="shared" si="58"/>
        <v>13.54</v>
      </c>
      <c r="J858" s="35">
        <f t="shared" si="58"/>
        <v>0.64</v>
      </c>
      <c r="K858" s="35">
        <f>L860+(K860+1/J860)*L862*D860/D862</f>
        <v>738.2505824731064</v>
      </c>
      <c r="L858" s="35">
        <f>273+J853</f>
        <v>1012.4361400199234</v>
      </c>
    </row>
    <row r="859" spans="4:12" ht="15">
      <c r="D859" s="3" t="s">
        <v>835</v>
      </c>
      <c r="E859" s="3" t="s">
        <v>699</v>
      </c>
      <c r="F859" s="3" t="s">
        <v>544</v>
      </c>
      <c r="G859" s="3" t="s">
        <v>209</v>
      </c>
      <c r="H859" s="3" t="s">
        <v>206</v>
      </c>
      <c r="I859" s="3" t="s">
        <v>993</v>
      </c>
      <c r="J859" s="3" t="s">
        <v>994</v>
      </c>
      <c r="K859" s="3" t="s">
        <v>995</v>
      </c>
      <c r="L859" s="3" t="s">
        <v>996</v>
      </c>
    </row>
    <row r="860" spans="4:12" ht="15.75">
      <c r="D860" s="35">
        <f>D845</f>
        <v>16000</v>
      </c>
      <c r="E860" s="35">
        <f>E845</f>
        <v>15.559873469387755</v>
      </c>
      <c r="F860" s="35">
        <f>L858-273</f>
        <v>739.4361400199234</v>
      </c>
      <c r="G860" s="35">
        <f>D860*E860/(3600*E858)*(F860+273)/273</f>
        <v>8.436357043541198</v>
      </c>
      <c r="H860" s="35">
        <f>1.1077-0.002944*F860^0.7+0.67936*G858+0.0050854*F860^0.7*G858+0.0000089737*F860^1.4-2.4659*G858^2-0.000046377*F860^1.4*G858^2+23.168*F860^-0.1*G858^4</f>
        <v>1.0299790958929609</v>
      </c>
      <c r="I860" s="35">
        <f>I858*H860*G860^J858</f>
        <v>54.599195543175604</v>
      </c>
      <c r="J860" s="35">
        <f>L856*K856^0.8</f>
        <v>1644.8109131775936</v>
      </c>
      <c r="K860" s="35">
        <f>K845</f>
        <v>0.005</v>
      </c>
      <c r="L860" s="35">
        <f>J880</f>
        <v>625.758297585338</v>
      </c>
    </row>
    <row r="861" spans="4:12" ht="15">
      <c r="D861" s="3" t="s">
        <v>997</v>
      </c>
      <c r="E861" s="3" t="s">
        <v>820</v>
      </c>
      <c r="F861" s="3" t="s">
        <v>998</v>
      </c>
      <c r="G861" s="3" t="s">
        <v>999</v>
      </c>
      <c r="H861" s="3" t="s">
        <v>1000</v>
      </c>
      <c r="I861" s="3" t="s">
        <v>1001</v>
      </c>
      <c r="J861" s="3" t="s">
        <v>1002</v>
      </c>
      <c r="K861" s="3" t="s">
        <v>1003</v>
      </c>
      <c r="L861" s="3" t="s">
        <v>1004</v>
      </c>
    </row>
    <row r="862" spans="4:12" ht="15.75">
      <c r="D862" s="35">
        <f>D847</f>
        <v>160</v>
      </c>
      <c r="E862" s="35">
        <f>((0.78+1.6*G858)/(F858*H858*D858)^0.5-0.1)*(1-0.37*L858/1000)</f>
        <v>2.3695285412867033</v>
      </c>
      <c r="F862" s="35">
        <f>E862*H858</f>
        <v>0.5789538503253637</v>
      </c>
      <c r="G862" s="35">
        <f>1-EXP(-F862*F858*D858)</f>
        <v>0.1599258430414785</v>
      </c>
      <c r="H862" s="35">
        <f>0.000000049*(0.82+1)/2*G862*L858^3*(1-(K858/L858)^3.6)/(1-K858/L858)</f>
        <v>18.56056552359324</v>
      </c>
      <c r="I862" s="35">
        <f>I860+H862</f>
        <v>73.15976106676885</v>
      </c>
      <c r="J862" s="35">
        <f>1/(1/I862+K860+1/J860)</f>
        <v>51.876129627151805</v>
      </c>
      <c r="K862" s="35">
        <f>L858-L860</f>
        <v>386.6778424345854</v>
      </c>
      <c r="L862" s="35">
        <f>J862*D862*K862/D860</f>
        <v>200.59349878083933</v>
      </c>
    </row>
    <row r="863" spans="4:12" ht="15.75">
      <c r="D863" s="1" t="s">
        <v>1104</v>
      </c>
      <c r="L863" s="18"/>
    </row>
    <row r="864" spans="4:10" ht="15">
      <c r="D864" s="3" t="s">
        <v>1006</v>
      </c>
      <c r="E864" s="3" t="s">
        <v>109</v>
      </c>
      <c r="F864" s="3" t="s">
        <v>840</v>
      </c>
      <c r="G864" s="3" t="s">
        <v>1007</v>
      </c>
      <c r="H864" s="3" t="s">
        <v>1008</v>
      </c>
      <c r="I864" s="3" t="s">
        <v>544</v>
      </c>
      <c r="J864" s="3" t="s">
        <v>996</v>
      </c>
    </row>
    <row r="865" spans="4:10" ht="15.75">
      <c r="D865" s="35">
        <f>H880</f>
        <v>703.682936237428</v>
      </c>
      <c r="E865" s="35">
        <f>E880</f>
        <v>100</v>
      </c>
      <c r="F865" s="35">
        <f>F880</f>
        <v>0.994</v>
      </c>
      <c r="G865" s="35">
        <f>L862*F865</f>
        <v>199.3899377881543</v>
      </c>
      <c r="H865" s="35">
        <f>D865+G865*D860/K856</f>
        <v>724.5458213173297</v>
      </c>
      <c r="I865" s="35">
        <f>3074.3-3.1077*E865-2.3864*10^7*H865^-1.3+22437.3*E865*H865^-1.3+0.0041697*E865^2+4.8476*10^10*H865^-2.6-177649*E865^2*H865^-2.6</f>
        <v>377.94075759808766</v>
      </c>
      <c r="J865" s="35">
        <f>I865+273</f>
        <v>650.9407575980877</v>
      </c>
    </row>
    <row r="866" ht="15">
      <c r="D866" s="1" t="s">
        <v>1009</v>
      </c>
    </row>
    <row r="867" spans="4:10" ht="15.75">
      <c r="D867" s="3" t="s">
        <v>1010</v>
      </c>
      <c r="E867" s="3" t="s">
        <v>706</v>
      </c>
      <c r="F867" s="3" t="s">
        <v>699</v>
      </c>
      <c r="G867" s="7" t="s">
        <v>645</v>
      </c>
      <c r="H867" s="1" t="s">
        <v>695</v>
      </c>
      <c r="I867" s="3" t="s">
        <v>1011</v>
      </c>
      <c r="J867" s="3" t="s">
        <v>1012</v>
      </c>
    </row>
    <row r="868" spans="4:10" ht="15.75">
      <c r="D868" s="35">
        <f>I853</f>
        <v>259.08453804924346</v>
      </c>
      <c r="E868" s="35">
        <f>E853</f>
        <v>1.3130758017492712</v>
      </c>
      <c r="F868" s="35">
        <f>E860</f>
        <v>15.559873469387755</v>
      </c>
      <c r="G868" s="35">
        <f>G853</f>
        <v>0.07269981997125521</v>
      </c>
      <c r="H868" s="35">
        <f>H853</f>
        <v>0.02</v>
      </c>
      <c r="I868" s="35">
        <f>D868-L862/F868</f>
        <v>246.1928201843467</v>
      </c>
      <c r="J868" s="35">
        <f>-17.5+3.51*I868+38.864*E868^-0.5-0.30038*I868*E868^-0.5+0.0044766*I868^2-23.072/E868-0.000058066*I868^2/E868-0.010324*I868^1.9+IF(I868&lt;200,1.6-1.87*I868^0.3+0.2012*E868-21.75*H868+0.302*I868^0.6,-0.19-0.0006295*I868+0.7193*E868^-0.4+41.38*H868-0.4254*I868*E868^-0.4*H868)</f>
        <v>705.541619760102</v>
      </c>
    </row>
    <row r="870" spans="3:12" ht="15.75">
      <c r="C870" s="4">
        <v>5</v>
      </c>
      <c r="E870" s="1" t="s">
        <v>1102</v>
      </c>
      <c r="K870" s="12" t="s">
        <v>984</v>
      </c>
      <c r="L870" s="12" t="s">
        <v>985</v>
      </c>
    </row>
    <row r="871" spans="4:12" ht="15.75">
      <c r="D871" s="1" t="s">
        <v>987</v>
      </c>
      <c r="K871" s="39">
        <f>K856</f>
        <v>152914.56538212864</v>
      </c>
      <c r="L871" s="17">
        <v>0.1171</v>
      </c>
    </row>
    <row r="872" spans="4:12" ht="15">
      <c r="D872" s="3" t="s">
        <v>815</v>
      </c>
      <c r="E872" s="3" t="s">
        <v>988</v>
      </c>
      <c r="F872" s="3" t="s">
        <v>817</v>
      </c>
      <c r="G872" s="3" t="s">
        <v>102</v>
      </c>
      <c r="H872" s="3" t="s">
        <v>647</v>
      </c>
      <c r="I872" s="3" t="s">
        <v>989</v>
      </c>
      <c r="J872" s="3" t="s">
        <v>990</v>
      </c>
      <c r="K872" s="3" t="s">
        <v>991</v>
      </c>
      <c r="L872" s="3" t="s">
        <v>992</v>
      </c>
    </row>
    <row r="873" spans="4:12" ht="15.75">
      <c r="D873" s="35">
        <f aca="true" t="shared" si="59" ref="D873:J873">D858</f>
        <v>0.301</v>
      </c>
      <c r="E873" s="35">
        <f t="shared" si="59"/>
        <v>30.4</v>
      </c>
      <c r="F873" s="35">
        <f t="shared" si="59"/>
        <v>1</v>
      </c>
      <c r="G873" s="35">
        <f t="shared" si="59"/>
        <v>0.17163310965489723</v>
      </c>
      <c r="H873" s="35">
        <f t="shared" si="59"/>
        <v>0.24433292962615244</v>
      </c>
      <c r="I873" s="35">
        <f t="shared" si="59"/>
        <v>13.54</v>
      </c>
      <c r="J873" s="35">
        <f t="shared" si="59"/>
        <v>0.64</v>
      </c>
      <c r="K873" s="35">
        <f>L875+(K875+1/J875)*L877*D875/D877</f>
        <v>711.3295174023448</v>
      </c>
      <c r="L873" s="35">
        <f>273+J868</f>
        <v>978.541619760102</v>
      </c>
    </row>
    <row r="874" spans="4:12" ht="15">
      <c r="D874" s="3" t="s">
        <v>835</v>
      </c>
      <c r="E874" s="3" t="s">
        <v>699</v>
      </c>
      <c r="F874" s="3" t="s">
        <v>544</v>
      </c>
      <c r="G874" s="3" t="s">
        <v>209</v>
      </c>
      <c r="H874" s="3" t="s">
        <v>206</v>
      </c>
      <c r="I874" s="3" t="s">
        <v>993</v>
      </c>
      <c r="J874" s="3" t="s">
        <v>994</v>
      </c>
      <c r="K874" s="3" t="s">
        <v>995</v>
      </c>
      <c r="L874" s="3" t="s">
        <v>996</v>
      </c>
    </row>
    <row r="875" spans="4:12" ht="15.75">
      <c r="D875" s="35">
        <f>D860</f>
        <v>16000</v>
      </c>
      <c r="E875" s="35">
        <f>E860</f>
        <v>15.559873469387755</v>
      </c>
      <c r="F875" s="35">
        <f>L873-273</f>
        <v>705.541619760102</v>
      </c>
      <c r="G875" s="35">
        <f>D875*E875/(3600*E873)*(F875+273)/273</f>
        <v>8.153923156179406</v>
      </c>
      <c r="H875" s="35">
        <f>1.1077-0.002944*F875^0.7+0.67936*G873+0.0050854*F875^0.7*G873+0.0000089737*F875^1.4-2.4659*G873^2-0.000046377*F875^1.4*G873^2+23.168*F875^-0.1*G873^4</f>
        <v>1.0318246509775444</v>
      </c>
      <c r="I875" s="35">
        <f>I873*H875*G875^J873</f>
        <v>53.517916390710994</v>
      </c>
      <c r="J875" s="35">
        <f>L871*K871^0.8</f>
        <v>1644.8109131775936</v>
      </c>
      <c r="K875" s="35">
        <f>K860</f>
        <v>0.005</v>
      </c>
      <c r="L875" s="35">
        <f>273+J802</f>
        <v>605.6377171438701</v>
      </c>
    </row>
    <row r="876" spans="4:12" ht="15">
      <c r="D876" s="3" t="s">
        <v>997</v>
      </c>
      <c r="E876" s="3" t="s">
        <v>820</v>
      </c>
      <c r="F876" s="3" t="s">
        <v>998</v>
      </c>
      <c r="G876" s="3" t="s">
        <v>999</v>
      </c>
      <c r="H876" s="3" t="s">
        <v>1000</v>
      </c>
      <c r="I876" s="3" t="s">
        <v>1001</v>
      </c>
      <c r="J876" s="3" t="s">
        <v>1002</v>
      </c>
      <c r="K876" s="3" t="s">
        <v>1003</v>
      </c>
      <c r="L876" s="3" t="s">
        <v>1004</v>
      </c>
    </row>
    <row r="877" spans="4:12" ht="15.75">
      <c r="D877" s="35">
        <f>D862</f>
        <v>160</v>
      </c>
      <c r="E877" s="35">
        <f>((0.78+1.6*G873)/(F873*H873*D873)^0.5-0.1)*(1-0.37*L873/1000)</f>
        <v>2.4170441432172023</v>
      </c>
      <c r="F877" s="35">
        <f>E877*H873</f>
        <v>0.5905634765479926</v>
      </c>
      <c r="G877" s="35">
        <f>1-EXP(-F877*F873*D873)</f>
        <v>0.16285635675832877</v>
      </c>
      <c r="H877" s="35">
        <f>0.000000049*(0.82+1)/2*G877*L873^3*(1-(K873/L873)^3.6)/(1-K873/L873)</f>
        <v>17.012961061089594</v>
      </c>
      <c r="I877" s="35">
        <f>I875+H877</f>
        <v>70.53087745180059</v>
      </c>
      <c r="J877" s="35">
        <f>1/(1/I877+K875+1/J875)</f>
        <v>50.54037759542772</v>
      </c>
      <c r="K877" s="35">
        <f>L873-L875</f>
        <v>372.9039026162319</v>
      </c>
      <c r="L877" s="35">
        <f>J877*D877*K877/D875</f>
        <v>188.46704045032965</v>
      </c>
    </row>
    <row r="878" spans="4:12" ht="15.75">
      <c r="D878" s="1" t="s">
        <v>1104</v>
      </c>
      <c r="L878" s="18"/>
    </row>
    <row r="879" spans="4:10" ht="15">
      <c r="D879" s="3" t="s">
        <v>1006</v>
      </c>
      <c r="E879" s="3" t="s">
        <v>109</v>
      </c>
      <c r="F879" s="3" t="s">
        <v>840</v>
      </c>
      <c r="G879" s="3" t="s">
        <v>1007</v>
      </c>
      <c r="H879" s="3" t="s">
        <v>1008</v>
      </c>
      <c r="I879" s="3" t="s">
        <v>544</v>
      </c>
      <c r="J879" s="3" t="s">
        <v>996</v>
      </c>
    </row>
    <row r="880" spans="4:10" ht="15.75">
      <c r="D880" s="35">
        <f>I802</f>
        <v>684.0812730222092</v>
      </c>
      <c r="E880" s="4">
        <v>100</v>
      </c>
      <c r="F880" s="4">
        <v>0.994</v>
      </c>
      <c r="G880" s="35">
        <f>L877*F880</f>
        <v>187.33623820762767</v>
      </c>
      <c r="H880" s="35">
        <f>D880+G880*D875/K871</f>
        <v>703.682936237428</v>
      </c>
      <c r="I880" s="35">
        <f>3074.3-3.1077*E880-2.3864*10^7*H880^-1.3+22437.3*E880*H880^-1.3+0.0041697*E880^2+4.8476*10^10*H880^-2.6-177649*E880^2*H880^-2.6</f>
        <v>352.758297585338</v>
      </c>
      <c r="J880" s="35">
        <f>I880+273</f>
        <v>625.758297585338</v>
      </c>
    </row>
    <row r="881" ht="15">
      <c r="D881" s="1" t="s">
        <v>1009</v>
      </c>
    </row>
    <row r="882" spans="4:10" ht="15.75">
      <c r="D882" s="3" t="s">
        <v>1010</v>
      </c>
      <c r="E882" s="3" t="s">
        <v>706</v>
      </c>
      <c r="F882" s="3" t="s">
        <v>699</v>
      </c>
      <c r="G882" s="7" t="s">
        <v>645</v>
      </c>
      <c r="H882" s="1" t="s">
        <v>695</v>
      </c>
      <c r="I882" s="3" t="s">
        <v>1011</v>
      </c>
      <c r="J882" s="3" t="s">
        <v>1012</v>
      </c>
    </row>
    <row r="883" spans="4:10" ht="15.75">
      <c r="D883" s="35">
        <f>I868</f>
        <v>246.1928201843467</v>
      </c>
      <c r="E883" s="35">
        <f>E868</f>
        <v>1.3130758017492712</v>
      </c>
      <c r="F883" s="35">
        <f>E875</f>
        <v>15.559873469387755</v>
      </c>
      <c r="G883" s="35">
        <f>G868</f>
        <v>0.07269981997125521</v>
      </c>
      <c r="H883" s="35">
        <f>H868</f>
        <v>0.02</v>
      </c>
      <c r="I883" s="35">
        <f>D883-L877/F883</f>
        <v>234.0804440251757</v>
      </c>
      <c r="J883" s="35">
        <f>-17.5+3.51*I883+38.864*E883^-0.5-0.30038*I883*E883^-0.5+0.0044766*I883^2-23.072/E883-0.000058066*I883^2/E883-0.010324*I883^1.9+IF(I883&lt;200,1.6-1.87*I883^0.3+0.2012*E883-21.75*H883+0.302*I883^0.6,-0.19-0.0006295*I883+0.7193*E883^-0.4+41.38*H883-0.4254*I883*E883^-0.4*H883)</f>
        <v>673.4971918970592</v>
      </c>
    </row>
    <row r="884" ht="15">
      <c r="F884" s="1" t="s">
        <v>1082</v>
      </c>
    </row>
    <row r="885" spans="5:10" ht="15">
      <c r="E885" s="24" t="s">
        <v>1083</v>
      </c>
      <c r="F885" s="24"/>
      <c r="G885" s="24"/>
      <c r="H885" s="24"/>
      <c r="I885" s="24"/>
      <c r="J885" s="24"/>
    </row>
    <row r="887" spans="5:9" ht="15">
      <c r="E887" s="24" t="s">
        <v>1084</v>
      </c>
      <c r="F887" s="24"/>
      <c r="G887" s="24"/>
      <c r="H887" s="24"/>
      <c r="I887" s="24"/>
    </row>
    <row r="888" spans="5:6" ht="15">
      <c r="E888" s="2" t="s">
        <v>1085</v>
      </c>
      <c r="F888" s="1" t="s">
        <v>1086</v>
      </c>
    </row>
    <row r="889" ht="15">
      <c r="D889" s="1" t="s">
        <v>941</v>
      </c>
    </row>
    <row r="890" spans="4:12" ht="15.75">
      <c r="D890" s="7" t="s">
        <v>1066</v>
      </c>
      <c r="E890" s="7" t="s">
        <v>1067</v>
      </c>
      <c r="F890" s="7" t="s">
        <v>1010</v>
      </c>
      <c r="G890" s="7" t="s">
        <v>1068</v>
      </c>
      <c r="H890" s="7" t="s">
        <v>1069</v>
      </c>
      <c r="I890" s="7" t="s">
        <v>1070</v>
      </c>
      <c r="J890" s="7" t="s">
        <v>1071</v>
      </c>
      <c r="K890" s="7" t="s">
        <v>1036</v>
      </c>
      <c r="L890" s="1" t="s">
        <v>695</v>
      </c>
    </row>
    <row r="891" spans="4:12" ht="15">
      <c r="D891" s="4">
        <v>0.03</v>
      </c>
      <c r="E891" s="4">
        <v>15.559873469387755</v>
      </c>
      <c r="F891" s="4">
        <v>274.2393043132837</v>
      </c>
      <c r="G891" s="4">
        <v>0.07269981997125521</v>
      </c>
      <c r="H891" s="4">
        <v>0.7120340712072314</v>
      </c>
      <c r="I891" s="4">
        <v>0.17163310965489723</v>
      </c>
      <c r="J891" s="4">
        <v>0.04500505271408481</v>
      </c>
      <c r="K891" s="4">
        <v>10</v>
      </c>
      <c r="L891" s="4">
        <v>0.02</v>
      </c>
    </row>
    <row r="892" spans="4:12" ht="15.75">
      <c r="D892" s="7" t="s">
        <v>1072</v>
      </c>
      <c r="E892" s="7" t="s">
        <v>699</v>
      </c>
      <c r="F892" s="7" t="s">
        <v>1011</v>
      </c>
      <c r="G892" s="7" t="s">
        <v>645</v>
      </c>
      <c r="H892" s="7" t="s">
        <v>644</v>
      </c>
      <c r="I892" s="7" t="s">
        <v>102</v>
      </c>
      <c r="J892" s="7" t="s">
        <v>646</v>
      </c>
      <c r="K892" s="3" t="s">
        <v>706</v>
      </c>
      <c r="L892" s="7" t="s">
        <v>1012</v>
      </c>
    </row>
    <row r="893" spans="4:12" ht="15.75">
      <c r="D893" s="35">
        <f>D891*9.51/(1-L891)</f>
        <v>0.29112244897959183</v>
      </c>
      <c r="E893" s="35">
        <f>E891+D893</f>
        <v>15.850995918367346</v>
      </c>
      <c r="F893" s="35">
        <f>(F891*E891+K891*D893)/E893</f>
        <v>269.38623427374074</v>
      </c>
      <c r="G893" s="35">
        <f>G891*E891/E893</f>
        <v>0.07136460105255732</v>
      </c>
      <c r="H893" s="35">
        <f>(H891*E891+0.79*D893)/E893</f>
        <v>0.7134660084964726</v>
      </c>
      <c r="I893" s="35">
        <f>(I891*E891+L891*D893)/E893</f>
        <v>0.16884818671021506</v>
      </c>
      <c r="J893" s="35">
        <f>(J891*E891+0.21*D893)/E893</f>
        <v>0.04803538174643761</v>
      </c>
      <c r="K893" s="35">
        <f>1+J893*1.01/(G893*0.21*9.51)</f>
        <v>1.340408163265306</v>
      </c>
      <c r="L893" s="35">
        <f>-17.5+3.51*F893+38.864*K893^-0.5-0.30038*F893*K893^-0.5+0.0044766*F893^2-23.072/K893-0.000058066*F893^2/K893-0.010324*F893^1.9+IF(F893&lt;200,1.6-1.87*F893^0.3+0.2012*K893-21.75*L891+0.302*F893^0.6,-0.19-0.0006295*F893+0.7193*K893^-0.4+41.38*L891-0.4254*F893*K893^-0.4*L891)</f>
        <v>767.1811822237665</v>
      </c>
    </row>
    <row r="894" spans="7:12" ht="15">
      <c r="G894" s="25" t="s">
        <v>835</v>
      </c>
      <c r="H894" s="26">
        <v>16000</v>
      </c>
      <c r="I894" s="25" t="s">
        <v>1014</v>
      </c>
      <c r="J894" s="26">
        <v>156737.42951668185</v>
      </c>
      <c r="K894" s="25" t="s">
        <v>1048</v>
      </c>
      <c r="L894" s="26">
        <v>1</v>
      </c>
    </row>
    <row r="895" spans="3:11" ht="15">
      <c r="C895" s="4">
        <v>1</v>
      </c>
      <c r="E895" s="1" t="s">
        <v>15</v>
      </c>
      <c r="K895" s="3" t="s">
        <v>1014</v>
      </c>
    </row>
    <row r="896" spans="3:11" ht="15.75">
      <c r="C896" s="1" t="s">
        <v>986</v>
      </c>
      <c r="D896" s="1" t="s">
        <v>987</v>
      </c>
      <c r="K896" s="35">
        <f>J894</f>
        <v>156737.42951668185</v>
      </c>
    </row>
    <row r="897" spans="4:12" ht="15">
      <c r="D897" s="3" t="s">
        <v>815</v>
      </c>
      <c r="E897" s="3" t="s">
        <v>988</v>
      </c>
      <c r="F897" s="3" t="s">
        <v>817</v>
      </c>
      <c r="G897" s="3" t="s">
        <v>102</v>
      </c>
      <c r="H897" s="3" t="s">
        <v>647</v>
      </c>
      <c r="I897" s="3" t="s">
        <v>989</v>
      </c>
      <c r="J897" s="3" t="s">
        <v>990</v>
      </c>
      <c r="K897" s="3" t="s">
        <v>991</v>
      </c>
      <c r="L897" s="3" t="s">
        <v>992</v>
      </c>
    </row>
    <row r="898" spans="4:12" ht="15.75">
      <c r="D898" s="4">
        <v>0.236</v>
      </c>
      <c r="E898" s="4">
        <v>19.8</v>
      </c>
      <c r="F898" s="35">
        <f>L894</f>
        <v>1</v>
      </c>
      <c r="G898" s="35">
        <f>I893</f>
        <v>0.16884818671021506</v>
      </c>
      <c r="H898" s="35">
        <f>G898+G893</f>
        <v>0.24021278776277238</v>
      </c>
      <c r="I898" s="4">
        <v>19.664</v>
      </c>
      <c r="J898" s="4">
        <v>0.6</v>
      </c>
      <c r="K898" s="35">
        <f>L900+(K900+1/J900)*L902*D900/D902</f>
        <v>766.4535195202706</v>
      </c>
      <c r="L898" s="35">
        <f>273+L893</f>
        <v>1040.1811822237664</v>
      </c>
    </row>
    <row r="899" spans="4:12" ht="15">
      <c r="D899" s="3" t="s">
        <v>835</v>
      </c>
      <c r="E899" s="3" t="s">
        <v>699</v>
      </c>
      <c r="F899" s="3" t="s">
        <v>544</v>
      </c>
      <c r="G899" s="3" t="s">
        <v>209</v>
      </c>
      <c r="H899" s="3" t="s">
        <v>206</v>
      </c>
      <c r="I899" s="3" t="s">
        <v>993</v>
      </c>
      <c r="J899" s="3" t="s">
        <v>994</v>
      </c>
      <c r="K899" s="3" t="s">
        <v>995</v>
      </c>
      <c r="L899" s="3" t="s">
        <v>996</v>
      </c>
    </row>
    <row r="900" spans="4:12" ht="15.75">
      <c r="D900" s="35">
        <f>H894</f>
        <v>16000</v>
      </c>
      <c r="E900" s="35">
        <f>E893</f>
        <v>15.850995918367346</v>
      </c>
      <c r="F900" s="35">
        <f>L898-273</f>
        <v>767.1811822237664</v>
      </c>
      <c r="G900" s="35">
        <f>D900*E900/(3600*E898)*(F900+273)/273</f>
        <v>13.556737644077273</v>
      </c>
      <c r="H900" s="35">
        <f>1.723-0.00072545*F900-2.1255*G898^0.1+0.00081189*F900*G898^0.1+0.00000015846*F900^2+1.5631*G898^0.2-0.00000016954*F900^2*G898^0.2+257255*F900^-0.8*G898^10</f>
        <v>1.0272293445181937</v>
      </c>
      <c r="I900" s="35">
        <f>I898*H900*G900^J898</f>
        <v>96.52335250697722</v>
      </c>
      <c r="J900" s="4">
        <v>100000</v>
      </c>
      <c r="K900" s="4">
        <v>0.005</v>
      </c>
      <c r="L900" s="35">
        <f>K920</f>
        <v>609.7412300452745</v>
      </c>
    </row>
    <row r="901" spans="4:12" ht="15">
      <c r="D901" s="3" t="s">
        <v>997</v>
      </c>
      <c r="E901" s="3" t="s">
        <v>820</v>
      </c>
      <c r="F901" s="3" t="s">
        <v>998</v>
      </c>
      <c r="G901" s="3" t="s">
        <v>999</v>
      </c>
      <c r="H901" s="3" t="s">
        <v>1000</v>
      </c>
      <c r="I901" s="3" t="s">
        <v>1001</v>
      </c>
      <c r="J901" s="3" t="s">
        <v>1002</v>
      </c>
      <c r="K901" s="3" t="s">
        <v>1003</v>
      </c>
      <c r="L901" s="3" t="s">
        <v>1004</v>
      </c>
    </row>
    <row r="902" spans="4:12" ht="15.75">
      <c r="D902" s="35">
        <f>952/5</f>
        <v>190.4</v>
      </c>
      <c r="E902" s="35">
        <f>((0.78+1.6*G898)/(F898*H898*D898)^0.5-0.1)*(1-0.37*L898/1000)</f>
        <v>2.651607991876204</v>
      </c>
      <c r="F902" s="35">
        <f>E902*H898</f>
        <v>0.6369501477826297</v>
      </c>
      <c r="G902" s="35">
        <f>1-EXP(-F902*F898*D898)</f>
        <v>0.13956760815939506</v>
      </c>
      <c r="H902" s="35">
        <f>0.000000049*(0.82+1)/2*G902*L898^3*(1-(K898/L898)^3.6)/(1-K898/L898)</f>
        <v>17.750439881643217</v>
      </c>
      <c r="I902" s="35">
        <f>I900+H902</f>
        <v>114.27379238862044</v>
      </c>
      <c r="J902" s="35">
        <f>1/(1/I902+K900+1/J900)</f>
        <v>72.66959756056909</v>
      </c>
      <c r="K902" s="35">
        <f>L898-L900</f>
        <v>430.4399521784919</v>
      </c>
      <c r="L902" s="35">
        <f>J902*D902*K902/D900</f>
        <v>372.23078737573917</v>
      </c>
    </row>
    <row r="903" ht="15">
      <c r="D903" s="1" t="s">
        <v>16</v>
      </c>
    </row>
    <row r="904" spans="4:11" ht="15">
      <c r="D904" s="3" t="s">
        <v>1015</v>
      </c>
      <c r="E904" s="3" t="s">
        <v>109</v>
      </c>
      <c r="F904" s="3" t="s">
        <v>840</v>
      </c>
      <c r="G904" s="3" t="s">
        <v>1007</v>
      </c>
      <c r="H904" s="3" t="s">
        <v>852</v>
      </c>
      <c r="I904" s="3" t="s">
        <v>865</v>
      </c>
      <c r="J904" s="3" t="s">
        <v>544</v>
      </c>
      <c r="K904" s="3" t="s">
        <v>996</v>
      </c>
    </row>
    <row r="905" spans="4:11" ht="15.75">
      <c r="D905" s="35">
        <f>H920</f>
        <v>373.0324051721032</v>
      </c>
      <c r="E905" s="4">
        <v>100</v>
      </c>
      <c r="F905" s="4">
        <v>0.994</v>
      </c>
      <c r="G905" s="35">
        <f>L902*F905</f>
        <v>369.9974026514847</v>
      </c>
      <c r="H905" s="35">
        <f>D905+G905*D900/K896</f>
        <v>410.80231412543134</v>
      </c>
      <c r="I905" s="35">
        <f>193.897+1.6984*E905-0.0066353*E905^2+0.0000121825*E905^3</f>
        <v>309.56649999999996</v>
      </c>
      <c r="J905" s="35">
        <f>7.058+0.37694*H905^1.2-0.000087402*H905^2.4+5.2177*10^12*H905^-4*E905^-2</f>
        <v>359.2826750971181</v>
      </c>
      <c r="K905" s="35">
        <f>J905+273</f>
        <v>632.282675097118</v>
      </c>
    </row>
    <row r="906" ht="15">
      <c r="D906" s="1" t="s">
        <v>1009</v>
      </c>
    </row>
    <row r="907" spans="4:10" ht="15.75">
      <c r="D907" s="3" t="s">
        <v>1010</v>
      </c>
      <c r="E907" s="3" t="s">
        <v>706</v>
      </c>
      <c r="F907" s="3" t="s">
        <v>699</v>
      </c>
      <c r="G907" s="7" t="s">
        <v>645</v>
      </c>
      <c r="H907" s="1" t="s">
        <v>695</v>
      </c>
      <c r="I907" s="3" t="s">
        <v>1011</v>
      </c>
      <c r="J907" s="3" t="s">
        <v>1012</v>
      </c>
    </row>
    <row r="908" spans="4:10" ht="15.75">
      <c r="D908" s="35">
        <f>F893</f>
        <v>269.38623427374074</v>
      </c>
      <c r="E908" s="35">
        <f>K893</f>
        <v>1.340408163265306</v>
      </c>
      <c r="F908" s="35">
        <f>E900</f>
        <v>15.850995918367346</v>
      </c>
      <c r="G908" s="35">
        <f>G893</f>
        <v>0.07136460105255732</v>
      </c>
      <c r="H908" s="35">
        <f>L891</f>
        <v>0.02</v>
      </c>
      <c r="I908" s="35">
        <f>D908-L902/F908</f>
        <v>245.90311754765435</v>
      </c>
      <c r="J908" s="35">
        <f>-17.5+3.51*I908+38.864*E908^-0.5-0.30038*I908*E908^-0.5+0.0044766*I908^2-23.072/E908-0.000058066*I908^2/E908-0.010324*I908^1.9+IF(I908&lt;200,1.6-1.87*I908^0.3+0.2012*E908-21.75*H908+0.302*I908^0.6,-0.19-0.0006295*I908+0.7193*E908^-0.4+41.38*H908-0.4254*I908*E908^-0.4*H908)</f>
        <v>705.5134028718629</v>
      </c>
    </row>
    <row r="910" spans="3:11" ht="15">
      <c r="C910" s="4">
        <v>2</v>
      </c>
      <c r="E910" s="1" t="s">
        <v>15</v>
      </c>
      <c r="K910" s="3" t="s">
        <v>1014</v>
      </c>
    </row>
    <row r="911" spans="4:11" ht="15.75">
      <c r="D911" s="1" t="s">
        <v>987</v>
      </c>
      <c r="K911" s="35">
        <f>K896</f>
        <v>156737.42951668185</v>
      </c>
    </row>
    <row r="912" spans="4:12" ht="15">
      <c r="D912" s="3" t="s">
        <v>815</v>
      </c>
      <c r="E912" s="3" t="s">
        <v>988</v>
      </c>
      <c r="F912" s="3" t="s">
        <v>817</v>
      </c>
      <c r="G912" s="3" t="s">
        <v>102</v>
      </c>
      <c r="H912" s="3" t="s">
        <v>647</v>
      </c>
      <c r="I912" s="3" t="s">
        <v>989</v>
      </c>
      <c r="J912" s="3" t="s">
        <v>990</v>
      </c>
      <c r="K912" s="3" t="s">
        <v>991</v>
      </c>
      <c r="L912" s="3" t="s">
        <v>992</v>
      </c>
    </row>
    <row r="913" spans="4:12" ht="15.75">
      <c r="D913" s="35">
        <f aca="true" t="shared" si="60" ref="D913:J913">D898</f>
        <v>0.236</v>
      </c>
      <c r="E913" s="35">
        <f t="shared" si="60"/>
        <v>19.8</v>
      </c>
      <c r="F913" s="35">
        <f t="shared" si="60"/>
        <v>1</v>
      </c>
      <c r="G913" s="35">
        <f t="shared" si="60"/>
        <v>0.16884818671021506</v>
      </c>
      <c r="H913" s="35">
        <f t="shared" si="60"/>
        <v>0.24021278776277238</v>
      </c>
      <c r="I913" s="35">
        <f t="shared" si="60"/>
        <v>19.664</v>
      </c>
      <c r="J913" s="35">
        <f t="shared" si="60"/>
        <v>0.6</v>
      </c>
      <c r="K913" s="35">
        <f>L915+(K915+1/J915)*L917*D915/D917</f>
        <v>724.8578181105022</v>
      </c>
      <c r="L913" s="35">
        <f>273+J908</f>
        <v>978.5134028718629</v>
      </c>
    </row>
    <row r="914" spans="4:12" ht="15">
      <c r="D914" s="3" t="s">
        <v>835</v>
      </c>
      <c r="E914" s="3" t="s">
        <v>699</v>
      </c>
      <c r="F914" s="3" t="s">
        <v>544</v>
      </c>
      <c r="G914" s="3" t="s">
        <v>209</v>
      </c>
      <c r="H914" s="3" t="s">
        <v>206</v>
      </c>
      <c r="I914" s="3" t="s">
        <v>993</v>
      </c>
      <c r="J914" s="3" t="s">
        <v>994</v>
      </c>
      <c r="K914" s="3" t="s">
        <v>995</v>
      </c>
      <c r="L914" s="3" t="s">
        <v>996</v>
      </c>
    </row>
    <row r="915" spans="4:12" ht="15.75">
      <c r="D915" s="35">
        <f>D900</f>
        <v>16000</v>
      </c>
      <c r="E915" s="35">
        <f>E900</f>
        <v>15.850995918367346</v>
      </c>
      <c r="F915" s="35">
        <f>L913-273</f>
        <v>705.5134028718629</v>
      </c>
      <c r="G915" s="35">
        <f>D915*E915/(3600*E913)*(F915+273)/273</f>
        <v>12.753018138231845</v>
      </c>
      <c r="H915" s="35">
        <f>1.723-0.00072545*F915-2.1255*G913^0.1+0.00081189*F915*G913^0.1+0.00000015846*F915^2+1.5631*G913^0.2-0.00000016954*F915^2*G913^0.2+257255*F915^-0.8*G913^10</f>
        <v>1.0264561449045424</v>
      </c>
      <c r="I915" s="35">
        <f>I913*H915*G915^J913</f>
        <v>92.97796807234911</v>
      </c>
      <c r="J915" s="4">
        <v>100000</v>
      </c>
      <c r="K915" s="35">
        <f>K900</f>
        <v>0.005</v>
      </c>
      <c r="L915" s="35">
        <f>K935</f>
        <v>587.1736722146219</v>
      </c>
    </row>
    <row r="916" spans="4:12" ht="15">
      <c r="D916" s="3" t="s">
        <v>997</v>
      </c>
      <c r="E916" s="3" t="s">
        <v>820</v>
      </c>
      <c r="F916" s="3" t="s">
        <v>998</v>
      </c>
      <c r="G916" s="3" t="s">
        <v>999</v>
      </c>
      <c r="H916" s="3" t="s">
        <v>1000</v>
      </c>
      <c r="I916" s="3" t="s">
        <v>1001</v>
      </c>
      <c r="J916" s="3" t="s">
        <v>1002</v>
      </c>
      <c r="K916" s="3" t="s">
        <v>1003</v>
      </c>
      <c r="L916" s="3" t="s">
        <v>1004</v>
      </c>
    </row>
    <row r="917" spans="4:12" ht="15.75">
      <c r="D917" s="35">
        <f>D902</f>
        <v>190.4</v>
      </c>
      <c r="E917" s="35">
        <f>((0.78+1.6*G913)/(F913*H913*D913)^0.5-0.1)*(1-0.37*L913/1000)</f>
        <v>2.7499638775333475</v>
      </c>
      <c r="F917" s="35">
        <f>E917*H913</f>
        <v>0.6605764892692085</v>
      </c>
      <c r="G917" s="35">
        <f>1-EXP(-F917*F913*D913)</f>
        <v>0.14435187088425805</v>
      </c>
      <c r="H917" s="35">
        <f>0.000000049*(0.82+1)/2*G917*L913^3*(1-(K913/L913)^3.6)/(1-K913/L913)</f>
        <v>15.365262273375096</v>
      </c>
      <c r="I917" s="35">
        <f>I915+H917</f>
        <v>108.34323034572421</v>
      </c>
      <c r="J917" s="35">
        <f>1/(1/I917+K915+1/J915)</f>
        <v>70.22508397530882</v>
      </c>
      <c r="K917" s="35">
        <f>L913-L915</f>
        <v>391.33973065724103</v>
      </c>
      <c r="L917" s="35">
        <f>J917*D917*K917/D915</f>
        <v>327.03419883452597</v>
      </c>
    </row>
    <row r="918" ht="15">
      <c r="D918" s="1" t="s">
        <v>16</v>
      </c>
    </row>
    <row r="919" spans="4:11" ht="15">
      <c r="D919" s="3" t="s">
        <v>1015</v>
      </c>
      <c r="E919" s="3" t="s">
        <v>109</v>
      </c>
      <c r="F919" s="3" t="s">
        <v>840</v>
      </c>
      <c r="G919" s="3" t="s">
        <v>1007</v>
      </c>
      <c r="H919" s="3" t="s">
        <v>852</v>
      </c>
      <c r="I919" s="3" t="s">
        <v>865</v>
      </c>
      <c r="J919" s="3" t="s">
        <v>544</v>
      </c>
      <c r="K919" s="3" t="s">
        <v>996</v>
      </c>
    </row>
    <row r="920" spans="4:11" ht="15.75">
      <c r="D920" s="35">
        <f>H935</f>
        <v>339.8485516771043</v>
      </c>
      <c r="E920" s="4">
        <v>100</v>
      </c>
      <c r="F920" s="4">
        <v>0.994</v>
      </c>
      <c r="G920" s="35">
        <f>L917*F920</f>
        <v>325.0719936415188</v>
      </c>
      <c r="H920" s="35">
        <f>D920+G920*D915/K911</f>
        <v>373.03240517210327</v>
      </c>
      <c r="I920" s="35">
        <f>193.897+1.6984*E920-0.0066353*E920^2+0.0000121825*E920^3</f>
        <v>309.56649999999996</v>
      </c>
      <c r="J920" s="35">
        <f>7.058+0.37694*H920^1.2-0.000087402*H920^2.4+5.2177*10^12*H920^-4*E920^-2</f>
        <v>336.7412300452745</v>
      </c>
      <c r="K920" s="35">
        <f>J920+273</f>
        <v>609.7412300452745</v>
      </c>
    </row>
    <row r="921" ht="15">
      <c r="D921" s="1" t="s">
        <v>1009</v>
      </c>
    </row>
    <row r="922" spans="4:10" ht="15.75">
      <c r="D922" s="3" t="s">
        <v>1010</v>
      </c>
      <c r="E922" s="3" t="s">
        <v>706</v>
      </c>
      <c r="F922" s="3" t="s">
        <v>699</v>
      </c>
      <c r="G922" s="7" t="s">
        <v>645</v>
      </c>
      <c r="H922" s="1" t="s">
        <v>695</v>
      </c>
      <c r="I922" s="3" t="s">
        <v>1011</v>
      </c>
      <c r="J922" s="3" t="s">
        <v>1012</v>
      </c>
    </row>
    <row r="923" spans="4:10" ht="15.75">
      <c r="D923" s="35">
        <f>I908</f>
        <v>245.90311754765435</v>
      </c>
      <c r="E923" s="35">
        <f>E908</f>
        <v>1.340408163265306</v>
      </c>
      <c r="F923" s="35">
        <f>E915</f>
        <v>15.850995918367346</v>
      </c>
      <c r="G923" s="35">
        <f>G908</f>
        <v>0.07136460105255732</v>
      </c>
      <c r="H923" s="35">
        <f>H908</f>
        <v>0.02</v>
      </c>
      <c r="I923" s="35">
        <f>D923-L917/F923</f>
        <v>225.27134144230723</v>
      </c>
      <c r="J923" s="35">
        <f>-17.5+3.51*I923+38.864*E923^-0.5-0.30038*I923*E923^-0.5+0.0044766*I923^2-23.072/E923-0.000058066*I923^2/E923-0.010324*I923^1.9+IF(I923&lt;200,1.6-1.87*I923^0.3+0.2012*E923-21.75*H923+0.302*I923^0.6,-0.19-0.0006295*I923+0.7193*E923^-0.4+41.38*H923-0.4254*I923*E923^-0.4*H923)</f>
        <v>650.7368886580282</v>
      </c>
    </row>
    <row r="925" spans="3:11" ht="15">
      <c r="C925" s="4">
        <v>3</v>
      </c>
      <c r="E925" s="1" t="s">
        <v>15</v>
      </c>
      <c r="K925" s="3" t="s">
        <v>1014</v>
      </c>
    </row>
    <row r="926" spans="4:11" ht="15.75">
      <c r="D926" s="1" t="s">
        <v>987</v>
      </c>
      <c r="K926" s="35">
        <f>K911</f>
        <v>156737.42951668185</v>
      </c>
    </row>
    <row r="927" spans="4:12" ht="15">
      <c r="D927" s="3" t="s">
        <v>815</v>
      </c>
      <c r="E927" s="3" t="s">
        <v>988</v>
      </c>
      <c r="F927" s="3" t="s">
        <v>817</v>
      </c>
      <c r="G927" s="3" t="s">
        <v>102</v>
      </c>
      <c r="H927" s="3" t="s">
        <v>647</v>
      </c>
      <c r="I927" s="3" t="s">
        <v>989</v>
      </c>
      <c r="J927" s="3" t="s">
        <v>990</v>
      </c>
      <c r="K927" s="3" t="s">
        <v>991</v>
      </c>
      <c r="L927" s="3" t="s">
        <v>992</v>
      </c>
    </row>
    <row r="928" spans="4:12" ht="15.75">
      <c r="D928" s="35">
        <f aca="true" t="shared" si="61" ref="D928:J928">D913</f>
        <v>0.236</v>
      </c>
      <c r="E928" s="35">
        <f t="shared" si="61"/>
        <v>19.8</v>
      </c>
      <c r="F928" s="35">
        <f t="shared" si="61"/>
        <v>1</v>
      </c>
      <c r="G928" s="35">
        <f t="shared" si="61"/>
        <v>0.16884818671021506</v>
      </c>
      <c r="H928" s="35">
        <f t="shared" si="61"/>
        <v>0.24021278776277238</v>
      </c>
      <c r="I928" s="35">
        <f t="shared" si="61"/>
        <v>19.664</v>
      </c>
      <c r="J928" s="35">
        <f t="shared" si="61"/>
        <v>0.6</v>
      </c>
      <c r="K928" s="35">
        <f>L930+(K930+1/J930)*L932*D930/D932</f>
        <v>687.3211516708042</v>
      </c>
      <c r="L928" s="35">
        <f>273+J923</f>
        <v>923.7368886580282</v>
      </c>
    </row>
    <row r="929" spans="4:12" ht="15">
      <c r="D929" s="3" t="s">
        <v>835</v>
      </c>
      <c r="E929" s="3" t="s">
        <v>699</v>
      </c>
      <c r="F929" s="3" t="s">
        <v>544</v>
      </c>
      <c r="G929" s="3" t="s">
        <v>209</v>
      </c>
      <c r="H929" s="3" t="s">
        <v>206</v>
      </c>
      <c r="I929" s="3" t="s">
        <v>993</v>
      </c>
      <c r="J929" s="3" t="s">
        <v>994</v>
      </c>
      <c r="K929" s="3" t="s">
        <v>995</v>
      </c>
      <c r="L929" s="3" t="s">
        <v>996</v>
      </c>
    </row>
    <row r="930" spans="4:12" ht="15.75">
      <c r="D930" s="35">
        <f>D915</f>
        <v>16000</v>
      </c>
      <c r="E930" s="35">
        <f>E915</f>
        <v>15.850995918367346</v>
      </c>
      <c r="F930" s="35">
        <f>L928-273</f>
        <v>650.7368886580282</v>
      </c>
      <c r="G930" s="35">
        <f>D930*E930/(3600*E928)*(F930+273)/273</f>
        <v>12.039112863896397</v>
      </c>
      <c r="H930" s="35">
        <f>1.723-0.00072545*F930-2.1255*G928^0.1+0.00081189*F930*G928^0.1+0.00000015846*F930^2+1.5631*G928^0.2-0.00000016954*F930^2*G928^0.2+257255*F930^-0.8*G928^10</f>
        <v>1.0260226298365878</v>
      </c>
      <c r="I930" s="35">
        <f>I928*H930*G930^J928</f>
        <v>89.78121879021283</v>
      </c>
      <c r="J930" s="4">
        <v>100000</v>
      </c>
      <c r="K930" s="35">
        <f>K915</f>
        <v>0.005</v>
      </c>
      <c r="L930" s="35">
        <f>K950</f>
        <v>565.1505690134345</v>
      </c>
    </row>
    <row r="931" spans="4:12" ht="15">
      <c r="D931" s="3" t="s">
        <v>997</v>
      </c>
      <c r="E931" s="3" t="s">
        <v>820</v>
      </c>
      <c r="F931" s="3" t="s">
        <v>998</v>
      </c>
      <c r="G931" s="3" t="s">
        <v>999</v>
      </c>
      <c r="H931" s="3" t="s">
        <v>1000</v>
      </c>
      <c r="I931" s="3" t="s">
        <v>1001</v>
      </c>
      <c r="J931" s="3" t="s">
        <v>1002</v>
      </c>
      <c r="K931" s="3" t="s">
        <v>1003</v>
      </c>
      <c r="L931" s="3" t="s">
        <v>1004</v>
      </c>
    </row>
    <row r="932" spans="4:12" ht="15.75">
      <c r="D932" s="35">
        <f>D917</f>
        <v>190.4</v>
      </c>
      <c r="E932" s="35">
        <f>((0.78+1.6*G928)/(F928*H928*D928)^0.5-0.1)*(1-0.37*L928/1000)</f>
        <v>2.837328667142015</v>
      </c>
      <c r="F932" s="35">
        <f>E932*H928</f>
        <v>0.6815626289334147</v>
      </c>
      <c r="G932" s="35">
        <f>1-EXP(-F932*F928*D928)</f>
        <v>0.14857918713656104</v>
      </c>
      <c r="H932" s="35">
        <f>0.000000049*(0.82+1)/2*G932*L928^3*(1-(K928/L928)^3.6)/(1-K928/L928)</f>
        <v>13.36481603196215</v>
      </c>
      <c r="I932" s="35">
        <f>I930+H932</f>
        <v>103.14603482217498</v>
      </c>
      <c r="J932" s="35">
        <f>1/(1/I932+K930+1/J930)</f>
        <v>68.00411645364345</v>
      </c>
      <c r="K932" s="35">
        <f>L928-L930</f>
        <v>358.5863196445937</v>
      </c>
      <c r="L932" s="35">
        <f>J932*D932*K932/D930</f>
        <v>290.18561549355286</v>
      </c>
    </row>
    <row r="933" ht="15">
      <c r="D933" s="1" t="s">
        <v>16</v>
      </c>
    </row>
    <row r="934" spans="4:11" ht="15">
      <c r="D934" s="3" t="s">
        <v>1015</v>
      </c>
      <c r="E934" s="3" t="s">
        <v>109</v>
      </c>
      <c r="F934" s="3" t="s">
        <v>840</v>
      </c>
      <c r="G934" s="3" t="s">
        <v>1007</v>
      </c>
      <c r="H934" s="3" t="s">
        <v>852</v>
      </c>
      <c r="I934" s="3" t="s">
        <v>865</v>
      </c>
      <c r="J934" s="3" t="s">
        <v>544</v>
      </c>
      <c r="K934" s="3" t="s">
        <v>996</v>
      </c>
    </row>
    <row r="935" spans="4:11" ht="15.75">
      <c r="D935" s="35">
        <f>H950</f>
        <v>310.40368938071026</v>
      </c>
      <c r="E935" s="4">
        <v>100</v>
      </c>
      <c r="F935" s="4">
        <v>0.994</v>
      </c>
      <c r="G935" s="35">
        <f>L932*F935</f>
        <v>288.4445018005915</v>
      </c>
      <c r="H935" s="35">
        <f>D935+G935*D930/K926</f>
        <v>339.8485516771043</v>
      </c>
      <c r="I935" s="35">
        <f>193.897+1.6984*E935-0.0066353*E935^2+0.0000121825*E935^3</f>
        <v>309.56649999999996</v>
      </c>
      <c r="J935" s="35">
        <f>7.058+0.37694*H935^1.2-0.000087402*H935^2.4+5.2177*10^12*H935^-4*E935^-2</f>
        <v>314.1736722146219</v>
      </c>
      <c r="K935" s="35">
        <f>J935+273</f>
        <v>587.1736722146219</v>
      </c>
    </row>
    <row r="936" ht="15">
      <c r="D936" s="1" t="s">
        <v>1009</v>
      </c>
    </row>
    <row r="937" spans="4:10" ht="15.75">
      <c r="D937" s="3" t="s">
        <v>1010</v>
      </c>
      <c r="E937" s="3" t="s">
        <v>706</v>
      </c>
      <c r="F937" s="3" t="s">
        <v>699</v>
      </c>
      <c r="G937" s="7" t="s">
        <v>645</v>
      </c>
      <c r="H937" s="1" t="s">
        <v>695</v>
      </c>
      <c r="I937" s="3" t="s">
        <v>1011</v>
      </c>
      <c r="J937" s="3" t="s">
        <v>1012</v>
      </c>
    </row>
    <row r="938" spans="4:10" ht="15.75">
      <c r="D938" s="35">
        <f>I923</f>
        <v>225.27134144230723</v>
      </c>
      <c r="E938" s="35">
        <f>E923</f>
        <v>1.340408163265306</v>
      </c>
      <c r="F938" s="35">
        <f>E930</f>
        <v>15.850995918367346</v>
      </c>
      <c r="G938" s="35">
        <f>G923</f>
        <v>0.07136460105255732</v>
      </c>
      <c r="H938" s="35">
        <f>H923</f>
        <v>0.02</v>
      </c>
      <c r="I938" s="35">
        <f>D938-L932/F938</f>
        <v>206.96425102426605</v>
      </c>
      <c r="J938" s="35">
        <f>-17.5+3.51*I938+38.864*E938^-0.5-0.30038*I938*E938^-0.5+0.0044766*I938^2-23.072/E938-0.000058066*I938^2/E938-0.010324*I938^1.9+IF(I938&lt;200,1.6-1.87*I938^0.3+0.2012*E938-21.75*H938+0.302*I938^0.6,-0.19-0.0006295*I938+0.7193*E938^-0.4+41.38*H938-0.4254*I938*E938^-0.4*H938)</f>
        <v>601.6330747658003</v>
      </c>
    </row>
    <row r="940" spans="3:11" ht="15">
      <c r="C940" s="4">
        <v>4</v>
      </c>
      <c r="E940" s="1" t="s">
        <v>15</v>
      </c>
      <c r="K940" s="3" t="s">
        <v>1014</v>
      </c>
    </row>
    <row r="941" spans="4:11" ht="15.75">
      <c r="D941" s="1" t="s">
        <v>987</v>
      </c>
      <c r="K941" s="35">
        <f>K926</f>
        <v>156737.42951668185</v>
      </c>
    </row>
    <row r="942" spans="4:12" ht="15">
      <c r="D942" s="3" t="s">
        <v>815</v>
      </c>
      <c r="E942" s="3" t="s">
        <v>988</v>
      </c>
      <c r="F942" s="3" t="s">
        <v>817</v>
      </c>
      <c r="G942" s="3" t="s">
        <v>102</v>
      </c>
      <c r="H942" s="3" t="s">
        <v>647</v>
      </c>
      <c r="I942" s="3" t="s">
        <v>989</v>
      </c>
      <c r="J942" s="3" t="s">
        <v>990</v>
      </c>
      <c r="K942" s="3" t="s">
        <v>991</v>
      </c>
      <c r="L942" s="3" t="s">
        <v>992</v>
      </c>
    </row>
    <row r="943" spans="4:12" ht="15.75">
      <c r="D943" s="35">
        <f aca="true" t="shared" si="62" ref="D943:J943">D928</f>
        <v>0.236</v>
      </c>
      <c r="E943" s="35">
        <f t="shared" si="62"/>
        <v>19.8</v>
      </c>
      <c r="F943" s="35">
        <f t="shared" si="62"/>
        <v>1</v>
      </c>
      <c r="G943" s="35">
        <f t="shared" si="62"/>
        <v>0.16884818671021506</v>
      </c>
      <c r="H943" s="35">
        <f t="shared" si="62"/>
        <v>0.24021278776277238</v>
      </c>
      <c r="I943" s="35">
        <f t="shared" si="62"/>
        <v>19.664</v>
      </c>
      <c r="J943" s="35">
        <f t="shared" si="62"/>
        <v>0.6</v>
      </c>
      <c r="K943" s="35">
        <f>L945+(K945+1/J945)*L947*D945/D947</f>
        <v>653.2771405667448</v>
      </c>
      <c r="L943" s="35">
        <f>273+J938</f>
        <v>874.6330747658003</v>
      </c>
    </row>
    <row r="944" spans="4:12" ht="15">
      <c r="D944" s="3" t="s">
        <v>835</v>
      </c>
      <c r="E944" s="3" t="s">
        <v>699</v>
      </c>
      <c r="F944" s="3" t="s">
        <v>544</v>
      </c>
      <c r="G944" s="3" t="s">
        <v>209</v>
      </c>
      <c r="H944" s="3" t="s">
        <v>206</v>
      </c>
      <c r="I944" s="3" t="s">
        <v>993</v>
      </c>
      <c r="J944" s="3" t="s">
        <v>994</v>
      </c>
      <c r="K944" s="3" t="s">
        <v>995</v>
      </c>
      <c r="L944" s="3" t="s">
        <v>996</v>
      </c>
    </row>
    <row r="945" spans="4:12" ht="15.75">
      <c r="D945" s="35">
        <f>D930</f>
        <v>16000</v>
      </c>
      <c r="E945" s="35">
        <f>E930</f>
        <v>15.850995918367346</v>
      </c>
      <c r="F945" s="35">
        <f>L943-273</f>
        <v>601.6330747658003</v>
      </c>
      <c r="G945" s="35">
        <f>D945*E945/(3600*E943)*(F945+273)/273</f>
        <v>11.399140199867443</v>
      </c>
      <c r="H945" s="35">
        <f>1.723-0.00072545*F945-2.1255*G943^0.1+0.00081189*F945*G943^0.1+0.00000015846*F945^2+1.5631*G943^0.2-0.00000016954*F945^2*G943^0.2+257255*F945^-0.8*G943^10</f>
        <v>1.025836610537371</v>
      </c>
      <c r="I945" s="35">
        <f>I943*H945*G945^J943</f>
        <v>86.8706991781953</v>
      </c>
      <c r="J945" s="4">
        <v>100000</v>
      </c>
      <c r="K945" s="35">
        <f>K930</f>
        <v>0.005</v>
      </c>
      <c r="L945" s="35">
        <f>K965</f>
        <v>543.9874114515449</v>
      </c>
    </row>
    <row r="946" spans="4:12" ht="15">
      <c r="D946" s="3" t="s">
        <v>997</v>
      </c>
      <c r="E946" s="3" t="s">
        <v>820</v>
      </c>
      <c r="F946" s="3" t="s">
        <v>998</v>
      </c>
      <c r="G946" s="3" t="s">
        <v>999</v>
      </c>
      <c r="H946" s="3" t="s">
        <v>1000</v>
      </c>
      <c r="I946" s="3" t="s">
        <v>1001</v>
      </c>
      <c r="J946" s="3" t="s">
        <v>1002</v>
      </c>
      <c r="K946" s="3" t="s">
        <v>1003</v>
      </c>
      <c r="L946" s="3" t="s">
        <v>1004</v>
      </c>
    </row>
    <row r="947" spans="4:12" ht="15.75">
      <c r="D947" s="35">
        <f>D932</f>
        <v>190.4</v>
      </c>
      <c r="E947" s="35">
        <f>((0.78+1.6*G943)/(F943*H943*D943)^0.5-0.1)*(1-0.37*L943/1000)</f>
        <v>2.915645888149009</v>
      </c>
      <c r="F947" s="35">
        <f>E947*H943</f>
        <v>0.7003754269213379</v>
      </c>
      <c r="G947" s="35">
        <f>1-EXP(-F947*F943*D943)</f>
        <v>0.15235096336661325</v>
      </c>
      <c r="H947" s="35">
        <f>0.000000049*(0.82+1)/2*G947*L943^3*(1-(K943/L943)^3.6)/(1-K943/L943)</f>
        <v>11.677899790224581</v>
      </c>
      <c r="I947" s="35">
        <f>I945+H947</f>
        <v>98.54859896841988</v>
      </c>
      <c r="J947" s="35">
        <f>1/(1/I947+K945+1/J945)</f>
        <v>65.97490791200757</v>
      </c>
      <c r="K947" s="35">
        <f>L943-L945</f>
        <v>330.64566331425544</v>
      </c>
      <c r="L947" s="35">
        <f>J947*D947*K947/D945</f>
        <v>259.5903745450857</v>
      </c>
    </row>
    <row r="948" ht="15">
      <c r="D948" s="1" t="s">
        <v>16</v>
      </c>
    </row>
    <row r="949" spans="4:11" ht="15">
      <c r="D949" s="3" t="s">
        <v>1015</v>
      </c>
      <c r="E949" s="3" t="s">
        <v>109</v>
      </c>
      <c r="F949" s="3" t="s">
        <v>840</v>
      </c>
      <c r="G949" s="3" t="s">
        <v>1007</v>
      </c>
      <c r="H949" s="3" t="s">
        <v>852</v>
      </c>
      <c r="I949" s="3" t="s">
        <v>865</v>
      </c>
      <c r="J949" s="3" t="s">
        <v>544</v>
      </c>
      <c r="K949" s="3" t="s">
        <v>996</v>
      </c>
    </row>
    <row r="950" spans="4:11" ht="15.75">
      <c r="D950" s="35">
        <f>H965</f>
        <v>284.0632974941275</v>
      </c>
      <c r="E950" s="4">
        <v>100</v>
      </c>
      <c r="F950" s="4">
        <v>0.994</v>
      </c>
      <c r="G950" s="35">
        <f>L947*F950</f>
        <v>258.03283229781516</v>
      </c>
      <c r="H950" s="35">
        <f>D950+G950*D945/K941</f>
        <v>310.40368938071026</v>
      </c>
      <c r="I950" s="35">
        <f>193.897+1.6984*E950-0.0066353*E950^2+0.0000121825*E950^3</f>
        <v>309.56649999999996</v>
      </c>
      <c r="J950" s="35">
        <f>7.058+0.37694*H950^1.2-0.000087402*H950^2.4+5.2177*10^12*H950^-4*E950^-2</f>
        <v>292.1505690134345</v>
      </c>
      <c r="K950" s="35">
        <f>J950+273</f>
        <v>565.1505690134345</v>
      </c>
    </row>
    <row r="951" ht="15">
      <c r="D951" s="1" t="s">
        <v>1009</v>
      </c>
    </row>
    <row r="952" spans="4:10" ht="15.75">
      <c r="D952" s="3" t="s">
        <v>1010</v>
      </c>
      <c r="E952" s="3" t="s">
        <v>706</v>
      </c>
      <c r="F952" s="3" t="s">
        <v>699</v>
      </c>
      <c r="G952" s="7" t="s">
        <v>645</v>
      </c>
      <c r="H952" s="1" t="s">
        <v>695</v>
      </c>
      <c r="I952" s="3" t="s">
        <v>1011</v>
      </c>
      <c r="J952" s="3" t="s">
        <v>1012</v>
      </c>
    </row>
    <row r="953" spans="4:10" ht="15.75">
      <c r="D953" s="35">
        <f>I938</f>
        <v>206.96425102426605</v>
      </c>
      <c r="E953" s="35">
        <f>E938</f>
        <v>1.340408163265306</v>
      </c>
      <c r="F953" s="35">
        <f>E945</f>
        <v>15.850995918367346</v>
      </c>
      <c r="G953" s="35">
        <f>G938</f>
        <v>0.07136460105255732</v>
      </c>
      <c r="H953" s="35">
        <f>H938</f>
        <v>0.02</v>
      </c>
      <c r="I953" s="35">
        <f>D953-L947/F953</f>
        <v>190.58733843896374</v>
      </c>
      <c r="J953" s="35">
        <f>-17.5+3.51*I953+38.864*E953^-0.5-0.30038*I953*E953^-0.5+0.0044766*I953^2-23.072/E953-0.000058066*I953^2/E953-0.010324*I953^1.9+IF(I953&lt;200,1.6-1.87*I953^0.3+0.2012*E953-21.75*H953+0.302*I953^0.6,-0.19-0.0006295*I953+0.7193*E953^-0.4+41.38*H953-0.4254*I953*E953^-0.4*H953)</f>
        <v>557.0174122573114</v>
      </c>
    </row>
    <row r="955" spans="3:11" ht="15">
      <c r="C955" s="4">
        <v>5</v>
      </c>
      <c r="E955" s="1" t="s">
        <v>15</v>
      </c>
      <c r="K955" s="3" t="s">
        <v>1014</v>
      </c>
    </row>
    <row r="956" spans="4:11" ht="15.75">
      <c r="D956" s="1" t="s">
        <v>987</v>
      </c>
      <c r="K956" s="35">
        <f>K941</f>
        <v>156737.42951668185</v>
      </c>
    </row>
    <row r="957" spans="4:12" ht="15">
      <c r="D957" s="3" t="s">
        <v>815</v>
      </c>
      <c r="E957" s="3" t="s">
        <v>988</v>
      </c>
      <c r="F957" s="3" t="s">
        <v>817</v>
      </c>
      <c r="G957" s="3" t="s">
        <v>102</v>
      </c>
      <c r="H957" s="3" t="s">
        <v>647</v>
      </c>
      <c r="I957" s="3" t="s">
        <v>989</v>
      </c>
      <c r="J957" s="3" t="s">
        <v>990</v>
      </c>
      <c r="K957" s="3" t="s">
        <v>991</v>
      </c>
      <c r="L957" s="3" t="s">
        <v>992</v>
      </c>
    </row>
    <row r="958" spans="4:12" ht="15.75">
      <c r="D958" s="35">
        <f aca="true" t="shared" si="63" ref="D958:J958">D943</f>
        <v>0.236</v>
      </c>
      <c r="E958" s="35">
        <f t="shared" si="63"/>
        <v>19.8</v>
      </c>
      <c r="F958" s="35">
        <f t="shared" si="63"/>
        <v>1</v>
      </c>
      <c r="G958" s="35">
        <f t="shared" si="63"/>
        <v>0.16884818671021506</v>
      </c>
      <c r="H958" s="35">
        <f t="shared" si="63"/>
        <v>0.24021278776277238</v>
      </c>
      <c r="I958" s="35">
        <f t="shared" si="63"/>
        <v>19.664</v>
      </c>
      <c r="J958" s="35">
        <f t="shared" si="63"/>
        <v>0.6</v>
      </c>
      <c r="K958" s="35">
        <f>L960+(K960+1/J960)*L962*D960/D962</f>
        <v>618.8417668224314</v>
      </c>
      <c r="L958" s="35">
        <f>273+J953</f>
        <v>830.0174122573114</v>
      </c>
    </row>
    <row r="959" spans="4:12" ht="15">
      <c r="D959" s="3" t="s">
        <v>835</v>
      </c>
      <c r="E959" s="3" t="s">
        <v>699</v>
      </c>
      <c r="F959" s="3" t="s">
        <v>544</v>
      </c>
      <c r="G959" s="3" t="s">
        <v>209</v>
      </c>
      <c r="H959" s="3" t="s">
        <v>206</v>
      </c>
      <c r="I959" s="3" t="s">
        <v>993</v>
      </c>
      <c r="J959" s="3" t="s">
        <v>994</v>
      </c>
      <c r="K959" s="3" t="s">
        <v>995</v>
      </c>
      <c r="L959" s="3" t="s">
        <v>996</v>
      </c>
    </row>
    <row r="960" spans="4:12" ht="15.75">
      <c r="D960" s="35">
        <f>D945</f>
        <v>16000</v>
      </c>
      <c r="E960" s="35">
        <f>E945</f>
        <v>15.850995918367346</v>
      </c>
      <c r="F960" s="35">
        <f>L958-273</f>
        <v>557.0174122573114</v>
      </c>
      <c r="G960" s="35">
        <f>D960*E960/(3600*E958)*(F960+273)/273</f>
        <v>10.817661855728199</v>
      </c>
      <c r="H960" s="35">
        <f>1.723-0.00072545*F960-2.1255*G958^0.1+0.00081189*F960*G958^0.1+0.00000015846*F960^2+1.5631*G958^0.2-0.00000016954*F960^2*G958^0.2+257255*F960^-0.8*G958^10</f>
        <v>1.0258337182099408</v>
      </c>
      <c r="I960" s="35">
        <f>I958*H960*G960^J958</f>
        <v>84.18386801802019</v>
      </c>
      <c r="J960" s="4">
        <v>100000</v>
      </c>
      <c r="K960" s="35">
        <f>K945</f>
        <v>0.005</v>
      </c>
      <c r="L960" s="35">
        <f>246+273</f>
        <v>519</v>
      </c>
    </row>
    <row r="961" spans="4:12" ht="15">
      <c r="D961" s="3" t="s">
        <v>997</v>
      </c>
      <c r="E961" s="3" t="s">
        <v>820</v>
      </c>
      <c r="F961" s="3" t="s">
        <v>998</v>
      </c>
      <c r="G961" s="3" t="s">
        <v>999</v>
      </c>
      <c r="H961" s="3" t="s">
        <v>1000</v>
      </c>
      <c r="I961" s="3" t="s">
        <v>1001</v>
      </c>
      <c r="J961" s="3" t="s">
        <v>1002</v>
      </c>
      <c r="K961" s="3" t="s">
        <v>1003</v>
      </c>
      <c r="L961" s="3" t="s">
        <v>1004</v>
      </c>
    </row>
    <row r="962" spans="4:12" ht="15.75">
      <c r="D962" s="35">
        <f>D947</f>
        <v>190.4</v>
      </c>
      <c r="E962" s="35">
        <f>((0.78+1.6*G958)/(F958*H958*D958)^0.5-0.1)*(1-0.37*L958/1000)</f>
        <v>2.986804815003851</v>
      </c>
      <c r="F962" s="35">
        <f>E962*H958</f>
        <v>0.7174687111153467</v>
      </c>
      <c r="G962" s="35">
        <f>1-EXP(-F962*F958*D958)</f>
        <v>0.15576350460512278</v>
      </c>
      <c r="H962" s="35">
        <f>0.000000049*(0.82+1)/2*G962*L958^3*(1-(K958/L958)^3.6)/(1-K958/L958)</f>
        <v>10.185425044650307</v>
      </c>
      <c r="I962" s="35">
        <f>I960+H962</f>
        <v>94.3692930626705</v>
      </c>
      <c r="J962" s="35">
        <f>1/(1/I962+K960+1/J960)</f>
        <v>64.07517902970498</v>
      </c>
      <c r="K962" s="35">
        <f>L958-L960</f>
        <v>311.01741225731143</v>
      </c>
      <c r="L962" s="35">
        <f>J962*D962*K962/D960</f>
        <v>237.14910682373923</v>
      </c>
    </row>
    <row r="963" ht="15">
      <c r="D963" s="1" t="s">
        <v>16</v>
      </c>
    </row>
    <row r="964" spans="4:11" ht="15">
      <c r="D964" s="3" t="s">
        <v>1015</v>
      </c>
      <c r="E964" s="3" t="s">
        <v>109</v>
      </c>
      <c r="F964" s="3" t="s">
        <v>840</v>
      </c>
      <c r="G964" s="3" t="s">
        <v>1007</v>
      </c>
      <c r="H964" s="3" t="s">
        <v>852</v>
      </c>
      <c r="I964" s="3" t="s">
        <v>865</v>
      </c>
      <c r="J964" s="3" t="s">
        <v>544</v>
      </c>
      <c r="K964" s="3" t="s">
        <v>996</v>
      </c>
    </row>
    <row r="965" spans="4:11" ht="15.75">
      <c r="D965" s="4">
        <v>260</v>
      </c>
      <c r="E965" s="4">
        <v>100</v>
      </c>
      <c r="F965" s="4">
        <v>0.994</v>
      </c>
      <c r="G965" s="35">
        <f>L962*F965</f>
        <v>235.7262121827968</v>
      </c>
      <c r="H965" s="35">
        <f>D965+G965*D960/K956</f>
        <v>284.0632974941275</v>
      </c>
      <c r="I965" s="35">
        <f>193.897+1.6984*E965-0.0066353*E965^2+0.0000121825*E965^3</f>
        <v>309.56649999999996</v>
      </c>
      <c r="J965" s="35">
        <f>7.058+0.37694*H965^1.2-0.000087402*H965^2.4+5.2177*10^12*H965^-4*E965^-2</f>
        <v>270.98741145154486</v>
      </c>
      <c r="K965" s="35">
        <f>J965+273</f>
        <v>543.9874114515449</v>
      </c>
    </row>
    <row r="966" ht="15">
      <c r="D966" s="1" t="s">
        <v>1009</v>
      </c>
    </row>
    <row r="967" spans="4:10" ht="15.75">
      <c r="D967" s="3" t="s">
        <v>1010</v>
      </c>
      <c r="E967" s="3" t="s">
        <v>706</v>
      </c>
      <c r="F967" s="3" t="s">
        <v>699</v>
      </c>
      <c r="G967" s="7" t="s">
        <v>645</v>
      </c>
      <c r="H967" s="1" t="s">
        <v>695</v>
      </c>
      <c r="I967" s="3" t="s">
        <v>1011</v>
      </c>
      <c r="J967" s="3" t="s">
        <v>1012</v>
      </c>
    </row>
    <row r="968" spans="4:10" ht="15.75">
      <c r="D968" s="35">
        <f>I953</f>
        <v>190.58733843896374</v>
      </c>
      <c r="E968" s="35">
        <f>E953</f>
        <v>1.340408163265306</v>
      </c>
      <c r="F968" s="35">
        <f>E960</f>
        <v>15.850995918367346</v>
      </c>
      <c r="G968" s="35">
        <f>G953</f>
        <v>0.07136460105255732</v>
      </c>
      <c r="H968" s="35">
        <f>H953</f>
        <v>0.02</v>
      </c>
      <c r="I968" s="35">
        <f>D968-L962/F968</f>
        <v>175.62618974868224</v>
      </c>
      <c r="J968" s="35">
        <f>-17.5+3.51*I968+38.864*E968^-0.5-0.30038*I968*E968^-0.5+0.0044766*I968^2-23.072/E968-0.000058066*I968^2/E968-0.010324*I968^1.9+IF(I968&lt;200,1.6-1.87*I968^0.3+0.2012*E968-21.75*H968+0.302*I968^0.6,-0.19-0.0006295*I968+0.7193*E968^-0.4+41.38*H968-0.4254*I968*E968^-0.4*H968)</f>
        <v>515.8917163826</v>
      </c>
    </row>
    <row r="969" spans="4:10" ht="15">
      <c r="D969" s="2" t="s">
        <v>1089</v>
      </c>
      <c r="E969" s="24" t="s">
        <v>1090</v>
      </c>
      <c r="F969" s="24"/>
      <c r="G969" s="24"/>
      <c r="H969" s="24"/>
      <c r="I969" s="24"/>
      <c r="J969" s="24"/>
    </row>
    <row r="971" spans="5:9" ht="15">
      <c r="E971" s="24" t="s">
        <v>1091</v>
      </c>
      <c r="F971" s="24"/>
      <c r="G971" s="24"/>
      <c r="H971" s="24"/>
      <c r="I971" s="24"/>
    </row>
    <row r="972" spans="5:6" ht="15">
      <c r="E972" s="2" t="s">
        <v>1092</v>
      </c>
      <c r="F972" s="1" t="s">
        <v>1086</v>
      </c>
    </row>
    <row r="973" ht="15">
      <c r="D973" s="1" t="s">
        <v>941</v>
      </c>
    </row>
    <row r="974" spans="4:12" ht="15.75">
      <c r="D974" s="7" t="s">
        <v>1066</v>
      </c>
      <c r="E974" s="7" t="s">
        <v>1067</v>
      </c>
      <c r="F974" s="7" t="s">
        <v>1010</v>
      </c>
      <c r="G974" s="7" t="s">
        <v>1068</v>
      </c>
      <c r="H974" s="7" t="s">
        <v>1069</v>
      </c>
      <c r="I974" s="7" t="s">
        <v>1070</v>
      </c>
      <c r="J974" s="7" t="s">
        <v>1071</v>
      </c>
      <c r="K974" s="7" t="s">
        <v>1036</v>
      </c>
      <c r="L974" s="1" t="s">
        <v>695</v>
      </c>
    </row>
    <row r="975" spans="4:12" ht="15">
      <c r="D975" s="4">
        <v>0.05</v>
      </c>
      <c r="E975" s="4">
        <v>15.850995918367346</v>
      </c>
      <c r="F975" s="4">
        <v>244.79723670902135</v>
      </c>
      <c r="G975" s="4">
        <v>0.07136460105255732</v>
      </c>
      <c r="H975" s="4">
        <v>0.7134660084964726</v>
      </c>
      <c r="I975" s="4">
        <v>0.16884818671021506</v>
      </c>
      <c r="J975" s="4">
        <v>0.04803538174643761</v>
      </c>
      <c r="K975" s="4">
        <v>30</v>
      </c>
      <c r="L975" s="4">
        <v>0.02</v>
      </c>
    </row>
    <row r="976" spans="4:12" ht="15.75">
      <c r="D976" s="7" t="s">
        <v>1072</v>
      </c>
      <c r="E976" s="7" t="s">
        <v>699</v>
      </c>
      <c r="F976" s="7" t="s">
        <v>1011</v>
      </c>
      <c r="G976" s="7" t="s">
        <v>645</v>
      </c>
      <c r="H976" s="7" t="s">
        <v>644</v>
      </c>
      <c r="I976" s="7" t="s">
        <v>102</v>
      </c>
      <c r="J976" s="7" t="s">
        <v>646</v>
      </c>
      <c r="K976" s="3" t="s">
        <v>706</v>
      </c>
      <c r="L976" s="7" t="s">
        <v>1012</v>
      </c>
    </row>
    <row r="977" spans="4:12" ht="15.75">
      <c r="D977" s="35">
        <f>D975*9.51/(1-L975)</f>
        <v>0.4852040816326531</v>
      </c>
      <c r="E977" s="35">
        <f>E975+D977</f>
        <v>16.336199999999998</v>
      </c>
      <c r="F977" s="35">
        <f>(F975*E975+K975*D977)/E977</f>
        <v>238.4175097238821</v>
      </c>
      <c r="G977" s="35">
        <f>G975*E975/E977</f>
        <v>0.06924498965487691</v>
      </c>
      <c r="H977" s="35">
        <f>(H975*E975+0.79*D977)/E977</f>
        <v>0.7157391567843946</v>
      </c>
      <c r="I977" s="35">
        <f>(I975*E975+L975*D977)/E977</f>
        <v>0.16442722297719176</v>
      </c>
      <c r="J977" s="35">
        <f>(J975*E975+0.21*D977)/E977</f>
        <v>0.052845918704647166</v>
      </c>
      <c r="K977" s="35">
        <f>1+J977*1.01/(G977*0.21*9.51)</f>
        <v>1.3859620991253643</v>
      </c>
      <c r="L977" s="35">
        <f>-17.5+3.51*F977+38.864*K977^-0.5-0.30038*F977*K977^-0.5+0.0044766*F977^2-23.072/K977-0.000058066*F977^2/K977-0.010324*F977^1.9+IF(F977&lt;200,1.6-1.87*F977^0.3+0.2012*K977-21.75*L975+0.302*F977^0.6,-0.19-0.0006295*F977+0.7193*K977^-0.4+41.38*L975-0.4254*F977*K977^-0.4*L975)</f>
        <v>686.8369624701869</v>
      </c>
    </row>
    <row r="978" spans="5:12" ht="15.75">
      <c r="E978" s="5" t="s">
        <v>1030</v>
      </c>
      <c r="F978" s="35">
        <f>K977*9.51/(1-L975)</f>
        <v>13.44948934967573</v>
      </c>
      <c r="G978" s="25" t="s">
        <v>1036</v>
      </c>
      <c r="H978" s="26">
        <v>56</v>
      </c>
      <c r="I978" s="25" t="s">
        <v>1037</v>
      </c>
      <c r="J978" s="26">
        <v>180</v>
      </c>
      <c r="K978" s="25" t="s">
        <v>835</v>
      </c>
      <c r="L978" s="26">
        <v>16000</v>
      </c>
    </row>
    <row r="979" spans="3:5" ht="15">
      <c r="C979" s="4">
        <v>1</v>
      </c>
      <c r="D979" s="1" t="s">
        <v>1016</v>
      </c>
      <c r="E979" s="1" t="s">
        <v>17</v>
      </c>
    </row>
    <row r="980" spans="4:12" ht="15">
      <c r="D980" s="3" t="s">
        <v>1019</v>
      </c>
      <c r="E980" s="3" t="s">
        <v>102</v>
      </c>
      <c r="F980" s="3" t="s">
        <v>1020</v>
      </c>
      <c r="G980" s="3" t="s">
        <v>1021</v>
      </c>
      <c r="H980" s="3" t="s">
        <v>992</v>
      </c>
      <c r="I980" s="3" t="s">
        <v>699</v>
      </c>
      <c r="J980" s="3" t="s">
        <v>1022</v>
      </c>
      <c r="K980" s="3" t="s">
        <v>1023</v>
      </c>
      <c r="L980" s="3" t="s">
        <v>1024</v>
      </c>
    </row>
    <row r="981" spans="4:12" ht="15.75">
      <c r="D981" s="4">
        <v>11.3</v>
      </c>
      <c r="E981" s="35">
        <f>I977</f>
        <v>0.16442722297719176</v>
      </c>
      <c r="F981" s="4">
        <v>4.3685</v>
      </c>
      <c r="G981" s="4">
        <v>0.8</v>
      </c>
      <c r="H981" s="35">
        <f>273+L977</f>
        <v>959.8369624701869</v>
      </c>
      <c r="I981" s="35">
        <f>E977</f>
        <v>16.336199999999998</v>
      </c>
      <c r="J981" s="35">
        <f>D985*I981/(3600*D981)*H981/273</f>
        <v>22.590451102402692</v>
      </c>
      <c r="K981" s="35">
        <f>1.6256-0.045133*(H981-273)^0.5+0.4512*E981+0.093678*(H981-273)^0.5*E981+0.00045725*(H981-273)+1.5688*E981^2-0.12748*(H981-273)^0.5*E981^1.2</f>
        <v>0.8942570628920544</v>
      </c>
      <c r="L981" s="35">
        <f>F981*K981*J981^G981</f>
        <v>47.3080058250705</v>
      </c>
    </row>
    <row r="982" spans="4:12" ht="15">
      <c r="D982" s="3" t="s">
        <v>1025</v>
      </c>
      <c r="E982" s="3" t="s">
        <v>1026</v>
      </c>
      <c r="F982" s="3" t="s">
        <v>1027</v>
      </c>
      <c r="G982" s="3" t="s">
        <v>1028</v>
      </c>
      <c r="H982" s="3" t="s">
        <v>1029</v>
      </c>
      <c r="I982" s="3" t="s">
        <v>1030</v>
      </c>
      <c r="J982" s="3" t="s">
        <v>1031</v>
      </c>
      <c r="K982" s="3" t="s">
        <v>1032</v>
      </c>
      <c r="L982" s="3" t="s">
        <v>1033</v>
      </c>
    </row>
    <row r="983" spans="4:12" ht="15.75">
      <c r="D983" s="4">
        <v>10.1</v>
      </c>
      <c r="E983" s="4">
        <v>0.75</v>
      </c>
      <c r="F983" s="4">
        <v>18.774</v>
      </c>
      <c r="G983" s="4">
        <v>0.6</v>
      </c>
      <c r="H983" s="35">
        <f>273+J1002</f>
        <v>770.9568709236876</v>
      </c>
      <c r="I983" s="35">
        <f>F978</f>
        <v>13.44948934967573</v>
      </c>
      <c r="J983" s="35">
        <f>D985*I983/(3600*D983)*H983/273</f>
        <v>16.713574429973708</v>
      </c>
      <c r="K983" s="35">
        <f>2.2357-0.72908*(H983-173)^0.1-0.0082964*(H983-173)^0.2</f>
        <v>0.8241090932699268</v>
      </c>
      <c r="L983" s="35">
        <f>F983*K983*J983^G983</f>
        <v>83.82684551911449</v>
      </c>
    </row>
    <row r="984" spans="4:11" ht="15">
      <c r="D984" s="3" t="s">
        <v>835</v>
      </c>
      <c r="E984" s="3" t="s">
        <v>997</v>
      </c>
      <c r="F984" s="3" t="s">
        <v>1002</v>
      </c>
      <c r="G984" s="3" t="s">
        <v>1003</v>
      </c>
      <c r="H984" s="3" t="s">
        <v>1004</v>
      </c>
      <c r="J984" s="3" t="s">
        <v>991</v>
      </c>
      <c r="K984" s="3" t="s">
        <v>1034</v>
      </c>
    </row>
    <row r="985" spans="4:11" ht="15.75">
      <c r="D985" s="35">
        <f>L978</f>
        <v>16000</v>
      </c>
      <c r="E985" s="35">
        <f>5420/5</f>
        <v>1084</v>
      </c>
      <c r="F985" s="35">
        <f>E983/(1/L981+1/L983)</f>
        <v>22.680932197652236</v>
      </c>
      <c r="G985" s="35">
        <f>H981-H983</f>
        <v>188.88009154649933</v>
      </c>
      <c r="H985" s="35">
        <f>F985*E985*G985/D985</f>
        <v>290.2394112525068</v>
      </c>
      <c r="J985" s="35">
        <f>(H981+H983)/2</f>
        <v>865.3969166969373</v>
      </c>
      <c r="K985" s="35">
        <f>J985-273</f>
        <v>592.3969166969373</v>
      </c>
    </row>
    <row r="986" ht="15">
      <c r="D986" s="1" t="s">
        <v>18</v>
      </c>
    </row>
    <row r="987" spans="5:11" ht="15">
      <c r="E987" s="3" t="s">
        <v>1035</v>
      </c>
      <c r="F987" s="3" t="s">
        <v>695</v>
      </c>
      <c r="G987" s="3" t="s">
        <v>840</v>
      </c>
      <c r="H987" s="3" t="s">
        <v>1007</v>
      </c>
      <c r="I987" s="3" t="s">
        <v>1036</v>
      </c>
      <c r="J987" s="3" t="s">
        <v>1037</v>
      </c>
      <c r="K987" s="3" t="s">
        <v>996</v>
      </c>
    </row>
    <row r="988" spans="5:11" ht="15.75">
      <c r="E988" s="35">
        <f>I1002</f>
        <v>160.31112397515622</v>
      </c>
      <c r="F988" s="35">
        <f>L975</f>
        <v>0.02</v>
      </c>
      <c r="G988" s="4">
        <v>0.994</v>
      </c>
      <c r="H988" s="35">
        <f>H985*G988</f>
        <v>288.49797478499175</v>
      </c>
      <c r="I988" s="35">
        <f>E988+H988/I983</f>
        <v>181.76160192894912</v>
      </c>
      <c r="J988" s="35">
        <f>3.2584*I988-0.00087946*I988^2-0.56112*I988*F988</f>
        <v>561.1572361114812</v>
      </c>
      <c r="K988" s="35">
        <f>J988+273</f>
        <v>834.1572361114812</v>
      </c>
    </row>
    <row r="989" ht="15">
      <c r="D989" s="1" t="s">
        <v>1009</v>
      </c>
    </row>
    <row r="990" spans="4:10" ht="15.75">
      <c r="D990" s="3" t="s">
        <v>1010</v>
      </c>
      <c r="E990" s="3" t="s">
        <v>706</v>
      </c>
      <c r="F990" s="3" t="s">
        <v>699</v>
      </c>
      <c r="G990" s="7" t="s">
        <v>645</v>
      </c>
      <c r="H990" s="1" t="s">
        <v>695</v>
      </c>
      <c r="I990" s="3" t="s">
        <v>1011</v>
      </c>
      <c r="J990" s="3" t="s">
        <v>1012</v>
      </c>
    </row>
    <row r="991" spans="4:10" ht="15.75">
      <c r="D991" s="35">
        <f>F977</f>
        <v>238.4175097238821</v>
      </c>
      <c r="E991" s="35">
        <f>K977</f>
        <v>1.3859620991253643</v>
      </c>
      <c r="F991" s="35">
        <f>I981</f>
        <v>16.336199999999998</v>
      </c>
      <c r="G991" s="35">
        <f>G977</f>
        <v>0.06924498965487691</v>
      </c>
      <c r="H991" s="35">
        <f>L975</f>
        <v>0.02</v>
      </c>
      <c r="I991" s="35">
        <f>D991-H985/F991</f>
        <v>220.6508680781807</v>
      </c>
      <c r="J991" s="35">
        <f>-17.5+3.51*I991+38.864*E991^-0.5-0.30038*I991*E991^-0.5+0.0044766*I991^2-23.072/E991-0.000058066*I991^2/E991-0.010324*I991^1.9+IF(I991&lt;200,1.6-1.87*I991^0.3+0.2012*E991-21.75*H991+0.302*I991^0.6,-0.19-0.0006295*I991+0.7193*E991^-0.4+41.38*H991-0.4254*I991*E991^-0.4*H991)</f>
        <v>639.4303730279378</v>
      </c>
    </row>
    <row r="993" spans="3:5" ht="15">
      <c r="C993" s="4">
        <v>2</v>
      </c>
      <c r="E993" s="1" t="s">
        <v>17</v>
      </c>
    </row>
    <row r="994" spans="4:12" ht="15">
      <c r="D994" s="3" t="s">
        <v>1019</v>
      </c>
      <c r="E994" s="3" t="s">
        <v>102</v>
      </c>
      <c r="F994" s="3" t="s">
        <v>1020</v>
      </c>
      <c r="G994" s="3" t="s">
        <v>1021</v>
      </c>
      <c r="H994" s="3" t="s">
        <v>992</v>
      </c>
      <c r="I994" s="3" t="s">
        <v>699</v>
      </c>
      <c r="J994" s="3" t="s">
        <v>1022</v>
      </c>
      <c r="K994" s="3" t="s">
        <v>1023</v>
      </c>
      <c r="L994" s="3" t="s">
        <v>1024</v>
      </c>
    </row>
    <row r="995" spans="4:12" ht="15.75">
      <c r="D995" s="35">
        <f>D981</f>
        <v>11.3</v>
      </c>
      <c r="E995" s="35">
        <f>E981</f>
        <v>0.16442722297719176</v>
      </c>
      <c r="F995" s="35">
        <f>F981</f>
        <v>4.3685</v>
      </c>
      <c r="G995" s="35">
        <f>G981</f>
        <v>0.8</v>
      </c>
      <c r="H995" s="35">
        <f>273+J991</f>
        <v>912.4303730279378</v>
      </c>
      <c r="I995" s="35">
        <f>I981</f>
        <v>16.336199999999998</v>
      </c>
      <c r="J995" s="35">
        <f>D999*I995/(3600*D995)*H995/273</f>
        <v>21.47470302996891</v>
      </c>
      <c r="K995" s="35">
        <f>1.6256-0.045133*(H995-273)^0.5+0.4512*E995+0.093678*(H995-273)^0.5*E995+0.00045725*(H995-273)+1.5688*E995^2-0.12748*(H995-273)^0.5*E995^1.2</f>
        <v>0.9133989984882032</v>
      </c>
      <c r="L995" s="35">
        <f>F995*K995*J995^G995</f>
        <v>46.40177613943319</v>
      </c>
    </row>
    <row r="996" spans="4:12" ht="15">
      <c r="D996" s="3" t="s">
        <v>1025</v>
      </c>
      <c r="E996" s="3" t="s">
        <v>1026</v>
      </c>
      <c r="F996" s="3" t="s">
        <v>1027</v>
      </c>
      <c r="G996" s="3" t="s">
        <v>1028</v>
      </c>
      <c r="H996" s="3" t="s">
        <v>1029</v>
      </c>
      <c r="I996" s="3" t="s">
        <v>1030</v>
      </c>
      <c r="J996" s="3" t="s">
        <v>1031</v>
      </c>
      <c r="K996" s="3" t="s">
        <v>1032</v>
      </c>
      <c r="L996" s="3" t="s">
        <v>1033</v>
      </c>
    </row>
    <row r="997" spans="4:12" ht="15.75">
      <c r="D997" s="35">
        <f>D983</f>
        <v>10.1</v>
      </c>
      <c r="E997" s="35">
        <f>E983</f>
        <v>0.75</v>
      </c>
      <c r="F997" s="35">
        <f>F983</f>
        <v>18.774</v>
      </c>
      <c r="G997" s="35">
        <f>G983</f>
        <v>0.6</v>
      </c>
      <c r="H997" s="35">
        <f>273+J1016</f>
        <v>701.0771627362578</v>
      </c>
      <c r="I997" s="35">
        <f>I983</f>
        <v>13.44948934967573</v>
      </c>
      <c r="J997" s="35">
        <f>D999*I997/(3600*D997)*H997/273</f>
        <v>15.198652197636461</v>
      </c>
      <c r="K997" s="35">
        <f>2.2357-0.72908*(H997-173)^0.1-0.0082964*(H997-173)^0.2</f>
        <v>0.8419067656209858</v>
      </c>
      <c r="L997" s="35">
        <f>F997*K997*J997^G997</f>
        <v>80.89168074789181</v>
      </c>
    </row>
    <row r="998" spans="4:11" ht="15">
      <c r="D998" s="3" t="s">
        <v>835</v>
      </c>
      <c r="E998" s="3" t="s">
        <v>997</v>
      </c>
      <c r="F998" s="3" t="s">
        <v>1002</v>
      </c>
      <c r="G998" s="3" t="s">
        <v>1003</v>
      </c>
      <c r="H998" s="3" t="s">
        <v>1004</v>
      </c>
      <c r="J998" s="3" t="s">
        <v>991</v>
      </c>
      <c r="K998" s="3" t="s">
        <v>1034</v>
      </c>
    </row>
    <row r="999" spans="4:11" ht="15.75">
      <c r="D999" s="35">
        <f>D985</f>
        <v>16000</v>
      </c>
      <c r="E999" s="35">
        <f>E985</f>
        <v>1084</v>
      </c>
      <c r="F999" s="35">
        <f>E997/(1/L995+1/L997)</f>
        <v>22.115341314805175</v>
      </c>
      <c r="G999" s="35">
        <f>H995-H997</f>
        <v>211.35321029167994</v>
      </c>
      <c r="H999" s="35">
        <f>F999*E999*G999/D999</f>
        <v>316.6735529875651</v>
      </c>
      <c r="J999" s="35">
        <f>(H995+H997)/2</f>
        <v>806.7537678820978</v>
      </c>
      <c r="K999" s="35">
        <f>J999-273</f>
        <v>533.7537678820978</v>
      </c>
    </row>
    <row r="1000" ht="15">
      <c r="D1000" s="1" t="s">
        <v>18</v>
      </c>
    </row>
    <row r="1001" spans="5:11" ht="15">
      <c r="E1001" s="3" t="s">
        <v>1035</v>
      </c>
      <c r="F1001" s="3" t="s">
        <v>695</v>
      </c>
      <c r="G1001" s="3" t="s">
        <v>840</v>
      </c>
      <c r="H1001" s="3" t="s">
        <v>1007</v>
      </c>
      <c r="I1001" s="3" t="s">
        <v>1036</v>
      </c>
      <c r="J1001" s="3" t="s">
        <v>1037</v>
      </c>
      <c r="K1001" s="3" t="s">
        <v>996</v>
      </c>
    </row>
    <row r="1002" spans="5:11" ht="15.75">
      <c r="E1002" s="35">
        <f>I1016</f>
        <v>136.90700033255644</v>
      </c>
      <c r="F1002" s="35">
        <f>F988</f>
        <v>0.02</v>
      </c>
      <c r="G1002" s="35">
        <f>G988</f>
        <v>0.994</v>
      </c>
      <c r="H1002" s="35">
        <f>H999*G1002</f>
        <v>314.7735116696397</v>
      </c>
      <c r="I1002" s="35">
        <f>E1002+H1002/I997</f>
        <v>160.31112397515622</v>
      </c>
      <c r="J1002" s="35">
        <f>3.2584*I1002-0.00087946*I1002^2-0.56112*I1002*F1002</f>
        <v>497.9568709236876</v>
      </c>
      <c r="K1002" s="35">
        <f>J1002+273</f>
        <v>770.9568709236876</v>
      </c>
    </row>
    <row r="1003" ht="15">
      <c r="D1003" s="1" t="s">
        <v>1009</v>
      </c>
    </row>
    <row r="1004" spans="4:10" ht="15.75">
      <c r="D1004" s="3" t="s">
        <v>1010</v>
      </c>
      <c r="E1004" s="3" t="s">
        <v>706</v>
      </c>
      <c r="F1004" s="3" t="s">
        <v>699</v>
      </c>
      <c r="G1004" s="7" t="s">
        <v>645</v>
      </c>
      <c r="H1004" s="1" t="s">
        <v>695</v>
      </c>
      <c r="I1004" s="3" t="s">
        <v>1011</v>
      </c>
      <c r="J1004" s="3" t="s">
        <v>1012</v>
      </c>
    </row>
    <row r="1005" spans="4:10" ht="15.75">
      <c r="D1005" s="35">
        <f>I991</f>
        <v>220.6508680781807</v>
      </c>
      <c r="E1005" s="35">
        <f>E991</f>
        <v>1.3859620991253643</v>
      </c>
      <c r="F1005" s="35">
        <f>F991</f>
        <v>16.336199999999998</v>
      </c>
      <c r="G1005" s="35">
        <f>G991</f>
        <v>0.06924498965487691</v>
      </c>
      <c r="H1005" s="35">
        <f>H991</f>
        <v>0.02</v>
      </c>
      <c r="I1005" s="35">
        <f>D1005-H999/F1005</f>
        <v>201.26609359038275</v>
      </c>
      <c r="J1005" s="35">
        <f>-17.5+3.51*I1005+38.864*E1005^-0.5-0.30038*I1005*E1005^-0.5+0.0044766*I1005^2-23.072/E1005-0.000058066*I1005^2/E1005-0.010324*I1005^1.9+IF(I1005&lt;200,1.6-1.87*I1005^0.3+0.2012*E1005-21.75*H1005+0.302*I1005^0.6,-0.19-0.0006295*I1005+0.7193*E1005^-0.4+41.38*H1005-0.4254*I1005*E1005^-0.4*H1005)</f>
        <v>587.1929513233357</v>
      </c>
    </row>
    <row r="1007" spans="3:5" ht="15">
      <c r="C1007" s="4">
        <v>3</v>
      </c>
      <c r="E1007" s="1" t="s">
        <v>17</v>
      </c>
    </row>
    <row r="1008" spans="4:12" ht="15">
      <c r="D1008" s="3" t="s">
        <v>1019</v>
      </c>
      <c r="E1008" s="3" t="s">
        <v>102</v>
      </c>
      <c r="F1008" s="3" t="s">
        <v>1020</v>
      </c>
      <c r="G1008" s="3" t="s">
        <v>1021</v>
      </c>
      <c r="H1008" s="3" t="s">
        <v>992</v>
      </c>
      <c r="I1008" s="3" t="s">
        <v>699</v>
      </c>
      <c r="J1008" s="3" t="s">
        <v>1022</v>
      </c>
      <c r="K1008" s="3" t="s">
        <v>1023</v>
      </c>
      <c r="L1008" s="3" t="s">
        <v>1024</v>
      </c>
    </row>
    <row r="1009" spans="4:12" ht="15.75">
      <c r="D1009" s="35">
        <f>D995</f>
        <v>11.3</v>
      </c>
      <c r="E1009" s="35">
        <f>E995</f>
        <v>0.16442722297719176</v>
      </c>
      <c r="F1009" s="35">
        <f>F995</f>
        <v>4.3685</v>
      </c>
      <c r="G1009" s="35">
        <f>G995</f>
        <v>0.8</v>
      </c>
      <c r="H1009" s="35">
        <f>273+J1005</f>
        <v>860.1929513233357</v>
      </c>
      <c r="I1009" s="35">
        <f>I995</f>
        <v>16.336199999999998</v>
      </c>
      <c r="J1009" s="35">
        <f>D1013*I1009/(3600*D1009)*H1009/273</f>
        <v>20.245257856596503</v>
      </c>
      <c r="K1009" s="35">
        <f>1.6256-0.045133*(H1009-273)^0.5+0.4512*E1009+0.093678*(H1009-273)^0.5*E1009+0.00045725*(H1009-273)+1.5688*E1009^2-0.12748*(H1009-273)^0.5*E1009^1.2</f>
        <v>0.9362858925604511</v>
      </c>
      <c r="L1009" s="35">
        <f>F1009*K1009*J1009^G1009</f>
        <v>45.37320630563024</v>
      </c>
    </row>
    <row r="1010" spans="4:12" ht="15">
      <c r="D1010" s="3" t="s">
        <v>1025</v>
      </c>
      <c r="E1010" s="3" t="s">
        <v>1026</v>
      </c>
      <c r="F1010" s="3" t="s">
        <v>1027</v>
      </c>
      <c r="G1010" s="3" t="s">
        <v>1028</v>
      </c>
      <c r="H1010" s="3" t="s">
        <v>1029</v>
      </c>
      <c r="I1010" s="3" t="s">
        <v>1030</v>
      </c>
      <c r="J1010" s="3" t="s">
        <v>1031</v>
      </c>
      <c r="K1010" s="3" t="s">
        <v>1032</v>
      </c>
      <c r="L1010" s="3" t="s">
        <v>1033</v>
      </c>
    </row>
    <row r="1011" spans="4:12" ht="15.75">
      <c r="D1011" s="35">
        <f>D997</f>
        <v>10.1</v>
      </c>
      <c r="E1011" s="35">
        <f>E997</f>
        <v>0.75</v>
      </c>
      <c r="F1011" s="35">
        <f>F997</f>
        <v>18.774</v>
      </c>
      <c r="G1011" s="35">
        <f>G997</f>
        <v>0.6</v>
      </c>
      <c r="H1011" s="35">
        <f>273+J1030</f>
        <v>624.3241226735637</v>
      </c>
      <c r="I1011" s="35">
        <f>I997</f>
        <v>13.44948934967573</v>
      </c>
      <c r="J1011" s="35">
        <f>D1013*I1011/(3600*D1011)*H1011/273</f>
        <v>13.534722999784393</v>
      </c>
      <c r="K1011" s="35">
        <f>2.2357-0.72908*(H1011-173)^0.1-0.0082964*(H1011-173)^0.2</f>
        <v>0.8640721324195307</v>
      </c>
      <c r="L1011" s="35">
        <f>F1011*K1011*J1011^G1011</f>
        <v>77.44197771189184</v>
      </c>
    </row>
    <row r="1012" spans="4:11" ht="15">
      <c r="D1012" s="3" t="s">
        <v>835</v>
      </c>
      <c r="E1012" s="3" t="s">
        <v>997</v>
      </c>
      <c r="F1012" s="3" t="s">
        <v>1002</v>
      </c>
      <c r="G1012" s="3" t="s">
        <v>1003</v>
      </c>
      <c r="H1012" s="3" t="s">
        <v>1004</v>
      </c>
      <c r="J1012" s="3" t="s">
        <v>991</v>
      </c>
      <c r="K1012" s="3" t="s">
        <v>1034</v>
      </c>
    </row>
    <row r="1013" spans="4:11" ht="15.75">
      <c r="D1013" s="35">
        <f>D999</f>
        <v>16000</v>
      </c>
      <c r="E1013" s="35">
        <f>E999</f>
        <v>1084</v>
      </c>
      <c r="F1013" s="35">
        <f>E1011/(1/L1009+1/L1011)</f>
        <v>21.457795668020008</v>
      </c>
      <c r="G1013" s="35">
        <f>H1009-H1011</f>
        <v>235.868828649772</v>
      </c>
      <c r="H1013" s="35">
        <f>F1013*E1013*G1013/D1013</f>
        <v>342.89800253189264</v>
      </c>
      <c r="J1013" s="35">
        <f>(H1009+H1011)/2</f>
        <v>742.2585369984497</v>
      </c>
      <c r="K1013" s="35">
        <f>J1013-273</f>
        <v>469.2585369984497</v>
      </c>
    </row>
    <row r="1014" ht="15">
      <c r="D1014" s="1" t="s">
        <v>18</v>
      </c>
    </row>
    <row r="1015" spans="5:11" ht="15">
      <c r="E1015" s="3" t="s">
        <v>1035</v>
      </c>
      <c r="F1015" s="3" t="s">
        <v>695</v>
      </c>
      <c r="G1015" s="3" t="s">
        <v>840</v>
      </c>
      <c r="H1015" s="3" t="s">
        <v>1007</v>
      </c>
      <c r="I1015" s="3" t="s">
        <v>1036</v>
      </c>
      <c r="J1015" s="3" t="s">
        <v>1037</v>
      </c>
      <c r="K1015" s="3" t="s">
        <v>996</v>
      </c>
    </row>
    <row r="1016" spans="5:11" ht="15.75">
      <c r="E1016" s="35">
        <f>I1030</f>
        <v>111.56472854400567</v>
      </c>
      <c r="F1016" s="35">
        <f>F1002</f>
        <v>0.02</v>
      </c>
      <c r="G1016" s="35">
        <f>G1002</f>
        <v>0.994</v>
      </c>
      <c r="H1016" s="35">
        <f>H1013*G1016</f>
        <v>340.8406145167013</v>
      </c>
      <c r="I1016" s="35">
        <f>E1016+H1016/I1011</f>
        <v>136.90700033255644</v>
      </c>
      <c r="J1016" s="35">
        <f>3.2584*I1016-0.00087946*I1016^2-0.56112*I1016*F1016</f>
        <v>428.07716273625783</v>
      </c>
      <c r="K1016" s="35">
        <f>J1016+273</f>
        <v>701.0771627362578</v>
      </c>
    </row>
    <row r="1017" ht="15">
      <c r="D1017" s="1" t="s">
        <v>1009</v>
      </c>
    </row>
    <row r="1018" spans="4:10" ht="15.75">
      <c r="D1018" s="3" t="s">
        <v>1010</v>
      </c>
      <c r="E1018" s="3" t="s">
        <v>706</v>
      </c>
      <c r="F1018" s="3" t="s">
        <v>699</v>
      </c>
      <c r="G1018" s="7" t="s">
        <v>645</v>
      </c>
      <c r="H1018" s="1" t="s">
        <v>695</v>
      </c>
      <c r="I1018" s="3" t="s">
        <v>1011</v>
      </c>
      <c r="J1018" s="3" t="s">
        <v>1012</v>
      </c>
    </row>
    <row r="1019" spans="4:10" ht="15.75">
      <c r="D1019" s="35">
        <f>I1005</f>
        <v>201.26609359038275</v>
      </c>
      <c r="E1019" s="35">
        <f>E1005</f>
        <v>1.3859620991253643</v>
      </c>
      <c r="F1019" s="35">
        <f>F1005</f>
        <v>16.336199999999998</v>
      </c>
      <c r="G1019" s="35">
        <f>G1005</f>
        <v>0.06924498965487691</v>
      </c>
      <c r="H1019" s="35">
        <f>H1005</f>
        <v>0.02</v>
      </c>
      <c r="I1019" s="35">
        <f>D1019-H1013/F1019</f>
        <v>180.27602230502308</v>
      </c>
      <c r="J1019" s="35">
        <f>-17.5+3.51*I1019+38.864*E1019^-0.5-0.30038*I1019*E1019^-0.5+0.0044766*I1019^2-23.072/E1019-0.000058066*I1019^2/E1019-0.010324*I1019^1.9+IF(I1019&lt;200,1.6-1.87*I1019^0.3+0.2012*E1019-21.75*H1019+0.302*I1019^0.6,-0.19-0.0006295*I1019+0.7193*E1019^-0.4+41.38*H1019-0.4254*I1019*E1019^-0.4*H1019)</f>
        <v>529.5520997629886</v>
      </c>
    </row>
    <row r="1021" spans="3:5" ht="15">
      <c r="C1021" s="4">
        <v>4</v>
      </c>
      <c r="E1021" s="1" t="s">
        <v>17</v>
      </c>
    </row>
    <row r="1022" spans="4:12" ht="15">
      <c r="D1022" s="3" t="s">
        <v>1019</v>
      </c>
      <c r="E1022" s="3" t="s">
        <v>102</v>
      </c>
      <c r="F1022" s="3" t="s">
        <v>1020</v>
      </c>
      <c r="G1022" s="3" t="s">
        <v>1021</v>
      </c>
      <c r="H1022" s="3" t="s">
        <v>992</v>
      </c>
      <c r="I1022" s="3" t="s">
        <v>699</v>
      </c>
      <c r="J1022" s="3" t="s">
        <v>1022</v>
      </c>
      <c r="K1022" s="3" t="s">
        <v>1023</v>
      </c>
      <c r="L1022" s="3" t="s">
        <v>1024</v>
      </c>
    </row>
    <row r="1023" spans="4:12" ht="15.75">
      <c r="D1023" s="35">
        <f>D1009</f>
        <v>11.3</v>
      </c>
      <c r="E1023" s="35">
        <f>E1009</f>
        <v>0.16442722297719176</v>
      </c>
      <c r="F1023" s="35">
        <f>F1009</f>
        <v>4.3685</v>
      </c>
      <c r="G1023" s="35">
        <f>G1009</f>
        <v>0.8</v>
      </c>
      <c r="H1023" s="35">
        <f>273+J1019</f>
        <v>802.5520997629886</v>
      </c>
      <c r="I1023" s="35">
        <f>I1009</f>
        <v>16.336199999999998</v>
      </c>
      <c r="J1023" s="35">
        <f>D1027*I1023/(3600*D1023)*H1023/273</f>
        <v>18.88863908737994</v>
      </c>
      <c r="K1023" s="35">
        <f>1.6256-0.045133*(H1023-273)^0.5+0.4512*E1023+0.093678*(H1023-273)^0.5*E1023+0.00045725*(H1023-273)+1.5688*E1023^2-0.12748*(H1023-273)^0.5*E1023^1.2</f>
        <v>0.9640254274983489</v>
      </c>
      <c r="L1023" s="35">
        <f>F1023*K1023*J1023^G1023</f>
        <v>44.19583708196708</v>
      </c>
    </row>
    <row r="1024" spans="4:12" ht="15">
      <c r="D1024" s="3" t="s">
        <v>1025</v>
      </c>
      <c r="E1024" s="3" t="s">
        <v>1026</v>
      </c>
      <c r="F1024" s="3" t="s">
        <v>1027</v>
      </c>
      <c r="G1024" s="3" t="s">
        <v>1028</v>
      </c>
      <c r="H1024" s="3" t="s">
        <v>1029</v>
      </c>
      <c r="I1024" s="3" t="s">
        <v>1030</v>
      </c>
      <c r="J1024" s="3" t="s">
        <v>1031</v>
      </c>
      <c r="K1024" s="3" t="s">
        <v>1032</v>
      </c>
      <c r="L1024" s="3" t="s">
        <v>1033</v>
      </c>
    </row>
    <row r="1025" spans="4:12" ht="15.75">
      <c r="D1025" s="35">
        <f>D1011</f>
        <v>10.1</v>
      </c>
      <c r="E1025" s="35">
        <f>E1011</f>
        <v>0.75</v>
      </c>
      <c r="F1025" s="35">
        <f>F1011</f>
        <v>18.774</v>
      </c>
      <c r="G1025" s="35">
        <f>G1011</f>
        <v>0.6</v>
      </c>
      <c r="H1025" s="35">
        <f>273+J1044</f>
        <v>541.0240642370234</v>
      </c>
      <c r="I1025" s="35">
        <f>I1011</f>
        <v>13.44948934967573</v>
      </c>
      <c r="J1025" s="35">
        <f>D1027*I1025/(3600*D1025)*H1025/273</f>
        <v>11.728860986994723</v>
      </c>
      <c r="K1025" s="35">
        <f>2.2357-0.72908*(H1025-173)^0.1-0.0082964*(H1025-173)^0.2</f>
        <v>0.8923323526739532</v>
      </c>
      <c r="L1025" s="35">
        <f>F1025*K1025*J1025^G1025</f>
        <v>73.39001155743362</v>
      </c>
    </row>
    <row r="1026" spans="4:11" ht="15">
      <c r="D1026" s="3" t="s">
        <v>835</v>
      </c>
      <c r="E1026" s="3" t="s">
        <v>997</v>
      </c>
      <c r="F1026" s="3" t="s">
        <v>1002</v>
      </c>
      <c r="G1026" s="3" t="s">
        <v>1003</v>
      </c>
      <c r="H1026" s="3" t="s">
        <v>1004</v>
      </c>
      <c r="J1026" s="3" t="s">
        <v>991</v>
      </c>
      <c r="K1026" s="3" t="s">
        <v>1034</v>
      </c>
    </row>
    <row r="1027" spans="4:11" ht="15.75">
      <c r="D1027" s="35">
        <f>D1013</f>
        <v>16000</v>
      </c>
      <c r="E1027" s="35">
        <f>E1013</f>
        <v>1084</v>
      </c>
      <c r="F1027" s="35">
        <f>E1025/(1/L1023+1/L1025)</f>
        <v>20.68828667586688</v>
      </c>
      <c r="G1027" s="35">
        <f>H1023-H1025</f>
        <v>261.52803552596527</v>
      </c>
      <c r="H1027" s="35">
        <f>F1027*E1027*G1027/D1027</f>
        <v>366.5659124029634</v>
      </c>
      <c r="J1027" s="35">
        <f>(H1023+H1025)/2</f>
        <v>671.7880820000059</v>
      </c>
      <c r="K1027" s="35">
        <f>J1027-273</f>
        <v>398.78808200000594</v>
      </c>
    </row>
    <row r="1028" ht="15">
      <c r="D1028" s="1" t="s">
        <v>18</v>
      </c>
    </row>
    <row r="1029" spans="5:11" ht="15">
      <c r="E1029" s="3" t="s">
        <v>1035</v>
      </c>
      <c r="F1029" s="3" t="s">
        <v>695</v>
      </c>
      <c r="G1029" s="3" t="s">
        <v>840</v>
      </c>
      <c r="H1029" s="3" t="s">
        <v>1007</v>
      </c>
      <c r="I1029" s="3" t="s">
        <v>1036</v>
      </c>
      <c r="J1029" s="3" t="s">
        <v>1037</v>
      </c>
      <c r="K1029" s="3" t="s">
        <v>996</v>
      </c>
    </row>
    <row r="1030" spans="5:11" ht="15.75">
      <c r="E1030" s="35">
        <f>I1044</f>
        <v>84.4732526183914</v>
      </c>
      <c r="F1030" s="35">
        <f>F1016</f>
        <v>0.02</v>
      </c>
      <c r="G1030" s="35">
        <f>G1016</f>
        <v>0.994</v>
      </c>
      <c r="H1030" s="35">
        <f>H1027*G1030</f>
        <v>364.36651692854565</v>
      </c>
      <c r="I1030" s="35">
        <f>E1030+H1030/I1025</f>
        <v>111.56472854400567</v>
      </c>
      <c r="J1030" s="35">
        <f>3.2584*I1030-0.00087946*I1030^2-0.56112*I1030*F1030</f>
        <v>351.3241226735637</v>
      </c>
      <c r="K1030" s="35">
        <f>J1030+273</f>
        <v>624.3241226735637</v>
      </c>
    </row>
    <row r="1031" ht="15">
      <c r="D1031" s="1" t="s">
        <v>1009</v>
      </c>
    </row>
    <row r="1032" spans="4:10" ht="15.75">
      <c r="D1032" s="3" t="s">
        <v>1010</v>
      </c>
      <c r="E1032" s="3" t="s">
        <v>706</v>
      </c>
      <c r="F1032" s="3" t="s">
        <v>699</v>
      </c>
      <c r="G1032" s="7" t="s">
        <v>645</v>
      </c>
      <c r="H1032" s="1" t="s">
        <v>695</v>
      </c>
      <c r="I1032" s="3" t="s">
        <v>1011</v>
      </c>
      <c r="J1032" s="3" t="s">
        <v>1012</v>
      </c>
    </row>
    <row r="1033" spans="4:10" ht="15.75">
      <c r="D1033" s="35">
        <f>I1019</f>
        <v>180.27602230502308</v>
      </c>
      <c r="E1033" s="35">
        <f>E1019</f>
        <v>1.3859620991253643</v>
      </c>
      <c r="F1033" s="35">
        <f>F1019</f>
        <v>16.336199999999998</v>
      </c>
      <c r="G1033" s="35">
        <f>G1019</f>
        <v>0.06924498965487691</v>
      </c>
      <c r="H1033" s="35">
        <f>H1019</f>
        <v>0.02</v>
      </c>
      <c r="I1033" s="35">
        <f>D1033-H1027/F1033</f>
        <v>157.83714959270543</v>
      </c>
      <c r="J1033" s="35">
        <f>-17.5+3.51*I1033+38.864*E1033^-0.5-0.30038*I1033*E1033^-0.5+0.0044766*I1033^2-23.072/E1033-0.000058066*I1033^2/E1033-0.010324*I1033^1.9+IF(I1033&lt;200,1.6-1.87*I1033^0.3+0.2012*E1033-21.75*H1033+0.302*I1033^0.6,-0.19-0.0006295*I1033+0.7193*E1033^-0.4+41.38*H1033-0.4254*I1033*E1033^-0.4*H1033)</f>
        <v>467.2415312638443</v>
      </c>
    </row>
    <row r="1035" spans="3:5" ht="15">
      <c r="C1035" s="4">
        <v>5</v>
      </c>
      <c r="E1035" s="1" t="s">
        <v>17</v>
      </c>
    </row>
    <row r="1036" spans="4:12" ht="15">
      <c r="D1036" s="3" t="s">
        <v>1019</v>
      </c>
      <c r="E1036" s="3" t="s">
        <v>102</v>
      </c>
      <c r="F1036" s="3" t="s">
        <v>1020</v>
      </c>
      <c r="G1036" s="3" t="s">
        <v>1021</v>
      </c>
      <c r="H1036" s="3" t="s">
        <v>992</v>
      </c>
      <c r="I1036" s="3" t="s">
        <v>699</v>
      </c>
      <c r="J1036" s="3" t="s">
        <v>1022</v>
      </c>
      <c r="K1036" s="3" t="s">
        <v>1023</v>
      </c>
      <c r="L1036" s="3" t="s">
        <v>1024</v>
      </c>
    </row>
    <row r="1037" spans="4:12" ht="15.75">
      <c r="D1037" s="35">
        <f>D1023</f>
        <v>11.3</v>
      </c>
      <c r="E1037" s="35">
        <f>E1023</f>
        <v>0.16442722297719176</v>
      </c>
      <c r="F1037" s="35">
        <f>F1023</f>
        <v>4.3685</v>
      </c>
      <c r="G1037" s="35">
        <f>G1023</f>
        <v>0.8</v>
      </c>
      <c r="H1037" s="35">
        <f>273+J1033</f>
        <v>740.2415312638443</v>
      </c>
      <c r="I1037" s="35">
        <f>I1023</f>
        <v>16.336199999999998</v>
      </c>
      <c r="J1037" s="35">
        <f>D1041*I1037/(3600*D1037)*H1037/273</f>
        <v>17.422115181882234</v>
      </c>
      <c r="K1037" s="35">
        <f>1.6256-0.045133*(H1037-273)^0.5+0.4512*E1037+0.093678*(H1037-273)^0.5*E1037+0.00045725*(H1037-273)+1.5688*E1037^2-0.12748*(H1037-273)^0.5*E1037^1.2</f>
        <v>0.9974405342566379</v>
      </c>
      <c r="L1037" s="35">
        <f>F1037*K1037*J1037^G1037</f>
        <v>42.86472657280202</v>
      </c>
    </row>
    <row r="1038" spans="4:12" ht="15">
      <c r="D1038" s="3" t="s">
        <v>1025</v>
      </c>
      <c r="E1038" s="3" t="s">
        <v>1026</v>
      </c>
      <c r="F1038" s="3" t="s">
        <v>1027</v>
      </c>
      <c r="G1038" s="3" t="s">
        <v>1028</v>
      </c>
      <c r="H1038" s="3" t="s">
        <v>1029</v>
      </c>
      <c r="I1038" s="3" t="s">
        <v>1030</v>
      </c>
      <c r="J1038" s="3" t="s">
        <v>1031</v>
      </c>
      <c r="K1038" s="3" t="s">
        <v>1032</v>
      </c>
      <c r="L1038" s="3" t="s">
        <v>1033</v>
      </c>
    </row>
    <row r="1039" spans="4:12" ht="15.75">
      <c r="D1039" s="35">
        <f>D1025</f>
        <v>10.1</v>
      </c>
      <c r="E1039" s="35">
        <f>E1025</f>
        <v>0.75</v>
      </c>
      <c r="F1039" s="35">
        <f>F1025</f>
        <v>18.774</v>
      </c>
      <c r="G1039" s="35">
        <f>G1025</f>
        <v>0.6</v>
      </c>
      <c r="H1039" s="35">
        <f>273+J978</f>
        <v>453</v>
      </c>
      <c r="I1039" s="35">
        <f>I1025</f>
        <v>13.44948934967573</v>
      </c>
      <c r="J1039" s="35">
        <f>D1041*I1039/(3600*D1039)*H1039/273</f>
        <v>9.82058724985087</v>
      </c>
      <c r="K1039" s="35">
        <f>2.2357-0.72908*(H1039-173)^0.1-0.0082964*(H1039-173)^0.2</f>
        <v>0.9292666897878644</v>
      </c>
      <c r="L1039" s="35">
        <f>F1039*K1039*J1039^G1039</f>
        <v>68.70362597220866</v>
      </c>
    </row>
    <row r="1040" spans="4:11" ht="15">
      <c r="D1040" s="3" t="s">
        <v>835</v>
      </c>
      <c r="E1040" s="3" t="s">
        <v>997</v>
      </c>
      <c r="F1040" s="3" t="s">
        <v>1002</v>
      </c>
      <c r="G1040" s="3" t="s">
        <v>1003</v>
      </c>
      <c r="H1040" s="3" t="s">
        <v>1004</v>
      </c>
      <c r="J1040" s="3" t="s">
        <v>991</v>
      </c>
      <c r="K1040" s="3" t="s">
        <v>1034</v>
      </c>
    </row>
    <row r="1041" spans="4:11" ht="15.75">
      <c r="D1041" s="35">
        <f>D1027</f>
        <v>16000</v>
      </c>
      <c r="E1041" s="35">
        <f>E1027</f>
        <v>1084</v>
      </c>
      <c r="F1041" s="35">
        <f>E1039/(1/L1037+1/L1039)</f>
        <v>19.79702627143311</v>
      </c>
      <c r="G1041" s="35">
        <f>H1037-H1039</f>
        <v>287.2415312638443</v>
      </c>
      <c r="H1041" s="35">
        <f>F1041*E1041*G1041/D1041</f>
        <v>385.26228153086686</v>
      </c>
      <c r="J1041" s="35">
        <f>(H1037+H1039)/2</f>
        <v>596.6207656319222</v>
      </c>
      <c r="K1041" s="35">
        <f>J1041-273</f>
        <v>323.62076563192215</v>
      </c>
    </row>
    <row r="1042" ht="15">
      <c r="D1042" s="1" t="s">
        <v>18</v>
      </c>
    </row>
    <row r="1043" spans="5:11" ht="15">
      <c r="E1043" s="3" t="s">
        <v>1035</v>
      </c>
      <c r="F1043" s="3" t="s">
        <v>695</v>
      </c>
      <c r="G1043" s="3" t="s">
        <v>840</v>
      </c>
      <c r="H1043" s="3" t="s">
        <v>1007</v>
      </c>
      <c r="I1043" s="3" t="s">
        <v>1036</v>
      </c>
      <c r="J1043" s="3" t="s">
        <v>1037</v>
      </c>
      <c r="K1043" s="3" t="s">
        <v>996</v>
      </c>
    </row>
    <row r="1044" spans="5:11" ht="15.75">
      <c r="E1044" s="35">
        <f>H978</f>
        <v>56</v>
      </c>
      <c r="F1044" s="35">
        <f>F1030</f>
        <v>0.02</v>
      </c>
      <c r="G1044" s="35">
        <f>G1030</f>
        <v>0.994</v>
      </c>
      <c r="H1044" s="35">
        <f>H1041*G1044</f>
        <v>382.95070784168166</v>
      </c>
      <c r="I1044" s="35">
        <f>E1044+H1044/I1039</f>
        <v>84.4732526183914</v>
      </c>
      <c r="J1044" s="35">
        <f>3.2584*I1044-0.00087946*I1044^2-0.56112*I1044*F1044</f>
        <v>268.0240642370233</v>
      </c>
      <c r="K1044" s="35">
        <f>J1044+273</f>
        <v>541.0240642370234</v>
      </c>
    </row>
    <row r="1045" ht="15">
      <c r="D1045" s="1" t="s">
        <v>1009</v>
      </c>
    </row>
    <row r="1046" spans="4:10" ht="15.75">
      <c r="D1046" s="3" t="s">
        <v>1010</v>
      </c>
      <c r="E1046" s="3" t="s">
        <v>706</v>
      </c>
      <c r="F1046" s="3" t="s">
        <v>699</v>
      </c>
      <c r="G1046" s="7" t="s">
        <v>645</v>
      </c>
      <c r="H1046" s="1" t="s">
        <v>695</v>
      </c>
      <c r="I1046" s="3" t="s">
        <v>1011</v>
      </c>
      <c r="J1046" s="3" t="s">
        <v>1012</v>
      </c>
    </row>
    <row r="1047" spans="4:10" ht="15.75">
      <c r="D1047" s="35">
        <f>I1033</f>
        <v>157.83714959270543</v>
      </c>
      <c r="E1047" s="35">
        <f>E1033</f>
        <v>1.3859620991253643</v>
      </c>
      <c r="F1047" s="35">
        <f>F1033</f>
        <v>16.336199999999998</v>
      </c>
      <c r="G1047" s="35">
        <f>G1033</f>
        <v>0.06924498965487691</v>
      </c>
      <c r="H1047" s="35">
        <f>H1033</f>
        <v>0.02</v>
      </c>
      <c r="I1047" s="35">
        <f>D1047-H1041/F1047</f>
        <v>134.25380208650037</v>
      </c>
      <c r="J1047" s="35">
        <f>-17.5+3.51*I1047+38.864*E1047^-0.5-0.30038*I1047*E1047^-0.5+0.0044766*I1047^2-23.072/E1047-0.000058066*I1047^2/E1047-0.010324*I1047^1.9+IF(I1047&lt;200,1.6-1.87*I1047^0.3+0.2012*E1047-21.75*H1047+0.302*I1047^0.6,-0.19-0.0006295*I1047+0.7193*E1047^-0.4+41.38*H1047-0.4254*I1047*E1047^-0.4*H1047)</f>
        <v>400.79470620393255</v>
      </c>
    </row>
    <row r="1048" spans="4:10" ht="15">
      <c r="D1048" s="2" t="s">
        <v>1097</v>
      </c>
      <c r="E1048" s="24" t="s">
        <v>1098</v>
      </c>
      <c r="F1048" s="24"/>
      <c r="G1048" s="24"/>
      <c r="H1048" s="24"/>
      <c r="I1048" s="24"/>
      <c r="J1048" s="2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CC446"/>
  <sheetViews>
    <sheetView showGridLines="0" zoomScale="75" zoomScaleNormal="75" workbookViewId="0" topLeftCell="A1">
      <selection activeCell="M5" sqref="M5"/>
    </sheetView>
  </sheetViews>
  <sheetFormatPr defaultColWidth="9.796875" defaultRowHeight="15"/>
  <cols>
    <col min="1" max="3" width="2.796875" style="0" customWidth="1"/>
    <col min="4" max="4" width="6.796875" style="0" customWidth="1"/>
    <col min="5" max="79" width="7.796875" style="0" customWidth="1"/>
  </cols>
  <sheetData>
    <row r="1" ht="15">
      <c r="E1" s="1" t="s">
        <v>627</v>
      </c>
    </row>
    <row r="2" ht="15">
      <c r="F2" s="1" t="s">
        <v>1488</v>
      </c>
    </row>
    <row r="3" spans="3:13" ht="15.75">
      <c r="C3" s="41" t="s">
        <v>8</v>
      </c>
      <c r="D3" s="20"/>
      <c r="E3" s="20"/>
      <c r="F3" s="20"/>
      <c r="G3" s="20"/>
      <c r="H3" s="20"/>
      <c r="I3" s="20"/>
      <c r="J3" s="20"/>
      <c r="K3" s="20"/>
      <c r="L3" s="20"/>
      <c r="M3" s="20"/>
    </row>
    <row r="4" ht="15">
      <c r="H4" s="2"/>
    </row>
    <row r="5" spans="4:5" ht="15">
      <c r="D5" s="2" t="s">
        <v>1489</v>
      </c>
      <c r="E5" s="1" t="s">
        <v>1490</v>
      </c>
    </row>
    <row r="7" spans="2:12" ht="15">
      <c r="B7" s="8"/>
      <c r="C7" s="8" t="s">
        <v>1491</v>
      </c>
      <c r="D7" s="8" t="s">
        <v>1492</v>
      </c>
      <c r="E7" s="8"/>
      <c r="F7" s="8"/>
      <c r="G7" s="8"/>
      <c r="H7" s="8"/>
      <c r="I7" s="8"/>
      <c r="J7" s="8"/>
      <c r="K7" s="8"/>
      <c r="L7" s="8"/>
    </row>
    <row r="8" spans="2:12" ht="15">
      <c r="B8" s="8"/>
      <c r="C8" s="1" t="s">
        <v>1493</v>
      </c>
      <c r="D8" s="1" t="s">
        <v>1494</v>
      </c>
      <c r="L8" s="24"/>
    </row>
    <row r="9" spans="2:12" ht="15">
      <c r="B9" s="8" t="s">
        <v>1495</v>
      </c>
      <c r="C9" s="1" t="s">
        <v>1496</v>
      </c>
      <c r="D9" s="3" t="s">
        <v>662</v>
      </c>
      <c r="E9" s="3" t="s">
        <v>1159</v>
      </c>
      <c r="F9" s="3" t="s">
        <v>664</v>
      </c>
      <c r="G9" s="3" t="s">
        <v>665</v>
      </c>
      <c r="H9" s="3" t="s">
        <v>666</v>
      </c>
      <c r="I9" s="3" t="s">
        <v>1497</v>
      </c>
      <c r="J9" s="3" t="s">
        <v>667</v>
      </c>
      <c r="K9" s="3" t="s">
        <v>1498</v>
      </c>
      <c r="L9" s="3" t="s">
        <v>1499</v>
      </c>
    </row>
    <row r="10" spans="2:12" ht="15.75">
      <c r="B10" s="8"/>
      <c r="D10" s="23">
        <v>9.51</v>
      </c>
      <c r="E10" s="23">
        <v>1.01</v>
      </c>
      <c r="F10" s="23">
        <v>7.54</v>
      </c>
      <c r="G10" s="23">
        <v>2.13</v>
      </c>
      <c r="H10" s="23">
        <v>10.68</v>
      </c>
      <c r="I10" s="23">
        <v>8560</v>
      </c>
      <c r="J10" s="23">
        <v>3.08</v>
      </c>
      <c r="K10" s="23">
        <v>0</v>
      </c>
      <c r="L10" s="23">
        <v>3.6</v>
      </c>
    </row>
    <row r="11" spans="2:12" ht="15">
      <c r="B11" s="8"/>
      <c r="C11" s="8"/>
      <c r="D11" s="8" t="s">
        <v>1500</v>
      </c>
      <c r="E11" s="8"/>
      <c r="F11" s="8"/>
      <c r="G11" s="8"/>
      <c r="H11" s="8"/>
      <c r="I11" s="8"/>
      <c r="J11" s="8"/>
      <c r="K11" s="8"/>
      <c r="L11" s="8"/>
    </row>
    <row r="13" spans="3:9" ht="15">
      <c r="C13" s="8"/>
      <c r="D13" s="8" t="s">
        <v>1501</v>
      </c>
      <c r="E13" s="8"/>
      <c r="F13" s="8"/>
      <c r="G13" s="8"/>
      <c r="H13" s="8"/>
      <c r="I13" s="8"/>
    </row>
    <row r="14" spans="3:4" ht="15">
      <c r="C14" s="8"/>
      <c r="D14" s="1" t="s">
        <v>1502</v>
      </c>
    </row>
    <row r="15" spans="3:4" ht="15">
      <c r="C15" s="8"/>
      <c r="D15" s="1" t="s">
        <v>1503</v>
      </c>
    </row>
    <row r="16" spans="3:4" ht="15">
      <c r="C16" s="8"/>
      <c r="D16" s="1" t="s">
        <v>1504</v>
      </c>
    </row>
    <row r="17" spans="3:9" ht="15">
      <c r="C17" s="8"/>
      <c r="D17" s="8" t="s">
        <v>1505</v>
      </c>
      <c r="E17" s="8"/>
      <c r="F17" s="8"/>
      <c r="G17" s="8"/>
      <c r="H17" s="8"/>
      <c r="I17" s="8"/>
    </row>
    <row r="19" ht="15">
      <c r="D19" s="1" t="s">
        <v>81</v>
      </c>
    </row>
    <row r="20" spans="2:3" ht="15">
      <c r="B20" s="1" t="s">
        <v>494</v>
      </c>
      <c r="C20" s="1" t="s">
        <v>549</v>
      </c>
    </row>
    <row r="21" spans="2:3" ht="15">
      <c r="B21" s="1" t="s">
        <v>495</v>
      </c>
      <c r="C21" s="1" t="s">
        <v>550</v>
      </c>
    </row>
    <row r="22" spans="2:3" ht="15">
      <c r="B22" s="1" t="s">
        <v>495</v>
      </c>
      <c r="C22" s="1" t="s">
        <v>551</v>
      </c>
    </row>
    <row r="23" spans="2:3" ht="15">
      <c r="B23" s="1" t="s">
        <v>496</v>
      </c>
      <c r="C23" s="1" t="s">
        <v>552</v>
      </c>
    </row>
    <row r="24" spans="1:3" ht="15">
      <c r="A24" s="2" t="s">
        <v>487</v>
      </c>
      <c r="B24" s="1" t="s">
        <v>498</v>
      </c>
      <c r="C24" s="1" t="s">
        <v>555</v>
      </c>
    </row>
    <row r="25" spans="2:3" ht="15">
      <c r="B25" s="1" t="s">
        <v>499</v>
      </c>
      <c r="C25" s="1" t="s">
        <v>556</v>
      </c>
    </row>
    <row r="26" spans="1:3" ht="15">
      <c r="A26" s="24"/>
      <c r="B26" s="24" t="s">
        <v>500</v>
      </c>
      <c r="C26" s="24" t="s">
        <v>557</v>
      </c>
    </row>
    <row r="27" spans="2:3" ht="15">
      <c r="B27" s="1" t="s">
        <v>631</v>
      </c>
      <c r="C27" s="1" t="s">
        <v>553</v>
      </c>
    </row>
    <row r="28" spans="2:7" ht="15">
      <c r="B28" s="2" t="s">
        <v>632</v>
      </c>
      <c r="C28" s="1" t="s">
        <v>633</v>
      </c>
      <c r="G28" s="2" t="s">
        <v>634</v>
      </c>
    </row>
    <row r="29" spans="2:3" ht="15">
      <c r="B29" s="1" t="s">
        <v>635</v>
      </c>
      <c r="C29" s="1" t="s">
        <v>636</v>
      </c>
    </row>
    <row r="30" ht="15">
      <c r="C30" s="1" t="s">
        <v>637</v>
      </c>
    </row>
    <row r="31" spans="3:4" ht="15">
      <c r="C31" s="1" t="s">
        <v>638</v>
      </c>
      <c r="D31" s="1" t="s">
        <v>639</v>
      </c>
    </row>
    <row r="32" ht="15">
      <c r="C32" s="1" t="s">
        <v>640</v>
      </c>
    </row>
    <row r="34" spans="2:11" ht="15.75">
      <c r="B34" s="2" t="s">
        <v>509</v>
      </c>
      <c r="C34" s="2" t="s">
        <v>641</v>
      </c>
      <c r="D34" s="12" t="s">
        <v>86</v>
      </c>
      <c r="E34" s="13"/>
      <c r="F34" s="13"/>
      <c r="G34" s="13"/>
      <c r="H34" s="13"/>
      <c r="I34" s="13"/>
      <c r="J34" s="13"/>
      <c r="K34" s="13"/>
    </row>
    <row r="35" spans="3:10" ht="15">
      <c r="C35" s="1" t="s">
        <v>4</v>
      </c>
      <c r="D35" s="1" t="s">
        <v>87</v>
      </c>
      <c r="E35" s="1" t="s">
        <v>304</v>
      </c>
      <c r="F35" s="3" t="s">
        <v>369</v>
      </c>
      <c r="G35" s="1" t="s">
        <v>88</v>
      </c>
      <c r="H35" s="1" t="s">
        <v>387</v>
      </c>
      <c r="I35" s="3" t="s">
        <v>404</v>
      </c>
      <c r="J35" s="3" t="s">
        <v>544</v>
      </c>
    </row>
    <row r="36" spans="4:10" ht="15.75">
      <c r="D36" s="31">
        <f>1-E36</f>
        <v>0.8</v>
      </c>
      <c r="E36" s="4">
        <v>0.2</v>
      </c>
      <c r="F36" s="4">
        <v>32</v>
      </c>
      <c r="G36" s="31">
        <f>(0.309701-0.00000555238*(J36+100)^1.1+0.0000000160444*(J36+100)^2.2-0.00000000000568436*(J36+100)^3.3+0.000000000000000856875*(J36+100)^4.4-0.0000000000000000000482474*(J36+100)^5.5)*J36</f>
        <v>31.892461569491758</v>
      </c>
      <c r="H36" s="31">
        <f>(0.317715-0.000574557*(J36+100)^0.7+0.0000164618*(J36+100)^1.4-0.000000119525*(J36+100)^2.1+0.000000000385185*(J36+100)^2.8-0.000000000000467365*(J36+100)^3.5)*J36</f>
        <v>32.43015372203296</v>
      </c>
      <c r="I36" s="31">
        <f>D36*G36+E36*H36</f>
        <v>32</v>
      </c>
      <c r="J36" s="31">
        <f>J36+2.5*(F36-I36)</f>
        <v>103.0533709720249</v>
      </c>
    </row>
    <row r="37" spans="3:8" ht="15.75">
      <c r="C37" s="2" t="s">
        <v>589</v>
      </c>
      <c r="D37" s="12" t="s">
        <v>642</v>
      </c>
      <c r="E37" s="13"/>
      <c r="F37" s="13"/>
      <c r="G37" s="13"/>
      <c r="H37" s="13"/>
    </row>
    <row r="38" spans="2:9" ht="15">
      <c r="B38" s="2" t="s">
        <v>1506</v>
      </c>
      <c r="C38" s="1" t="s">
        <v>590</v>
      </c>
      <c r="D38" s="1" t="s">
        <v>87</v>
      </c>
      <c r="E38" s="1" t="s">
        <v>305</v>
      </c>
      <c r="F38" s="1" t="s">
        <v>1507</v>
      </c>
      <c r="G38" s="1" t="s">
        <v>304</v>
      </c>
      <c r="H38" s="3" t="s">
        <v>396</v>
      </c>
      <c r="I38" s="3" t="s">
        <v>369</v>
      </c>
    </row>
    <row r="39" spans="4:9" ht="15.75">
      <c r="D39" s="31">
        <f>1-E39-F39-G39</f>
        <v>0.7</v>
      </c>
      <c r="E39" s="4">
        <v>0.1</v>
      </c>
      <c r="F39" s="4">
        <v>0.1</v>
      </c>
      <c r="G39" s="4">
        <v>0.1</v>
      </c>
      <c r="H39" s="4">
        <v>30</v>
      </c>
      <c r="I39" s="4">
        <v>33.00934224802086</v>
      </c>
    </row>
    <row r="40" spans="4:10" ht="15">
      <c r="D40" s="1" t="s">
        <v>88</v>
      </c>
      <c r="E40" s="1" t="s">
        <v>306</v>
      </c>
      <c r="F40" s="1" t="s">
        <v>1508</v>
      </c>
      <c r="G40" s="1" t="s">
        <v>387</v>
      </c>
      <c r="H40" s="3" t="s">
        <v>397</v>
      </c>
      <c r="I40" s="3" t="s">
        <v>404</v>
      </c>
      <c r="J40" s="3" t="s">
        <v>544</v>
      </c>
    </row>
    <row r="41" spans="4:10" ht="15.75">
      <c r="D41" s="31">
        <f>(0.309701-0.00000555238*(J41+100)^1.1+0.0000000160444*(J41+100)^2.2-0.00000000000568436*(J41+100)^3.3+0.000000000000000856875*(J41+100)^4.4-0.0000000000000000000482474*(J41+100)^5.5)*J41</f>
        <v>30.94547853242217</v>
      </c>
      <c r="E41" s="31">
        <f>(0.356179-0.0000326182*(J41+100)^0.8+0.00000129519*(J41+100)^1.6-0.00000000148934*(J41+100)^2.4-0.000000000000594678*(J41+100)^3.2+0.00000000000000129158*(J41+100)^4)*J41</f>
        <v>35.963318125041425</v>
      </c>
      <c r="F41" s="31">
        <f>(0.34584+0.0008688*(J41+100)^0.82-0.00000109945*(J41+100)^1.64+0.00000000054341*(J41+100)^2.46)*J41</f>
        <v>40.651155267271136</v>
      </c>
      <c r="G41" s="31">
        <f>(0.317715-0.000574557*(J41+100)^0.7+0.0000164618*(J41+100)^1.4-0.000000119525*(J41+100)^2.1+0.000000000385185*(J41+100)^2.8-0.000000000000467365*(J41+100)^3.5)*J41</f>
        <v>31.457429024193235</v>
      </c>
      <c r="H41" s="31">
        <f>0.10364*J41^1.12+0.26993*IF(J41&lt;=1300,0,(J41-1300)^0.9)</f>
        <v>18.01056778915854</v>
      </c>
      <c r="I41" s="31">
        <f>D39*D41+E39*E41+F39*F41+G39*G41+0.001*H39*H41</f>
        <v>33.00934224802086</v>
      </c>
      <c r="J41" s="31">
        <f>J41+2.5*(I39-I41)</f>
        <v>100</v>
      </c>
    </row>
    <row r="42" spans="7:9" ht="15">
      <c r="G42" s="24" t="s">
        <v>648</v>
      </c>
      <c r="H42" s="24"/>
      <c r="I42" s="24"/>
    </row>
    <row r="43" ht="15">
      <c r="D43" s="1" t="s">
        <v>649</v>
      </c>
    </row>
    <row r="44" spans="3:4" ht="15">
      <c r="C44" s="1" t="s">
        <v>650</v>
      </c>
      <c r="D44" s="1" t="s">
        <v>651</v>
      </c>
    </row>
    <row r="45" ht="15">
      <c r="D45" s="1" t="s">
        <v>652</v>
      </c>
    </row>
    <row r="46" spans="3:4" ht="15">
      <c r="C46" s="2" t="s">
        <v>653</v>
      </c>
      <c r="D46" s="1" t="s">
        <v>654</v>
      </c>
    </row>
    <row r="48" ht="15">
      <c r="E48" s="1" t="s">
        <v>655</v>
      </c>
    </row>
    <row r="49" ht="15">
      <c r="E49" s="1" t="s">
        <v>656</v>
      </c>
    </row>
    <row r="50" spans="4:5" ht="15">
      <c r="D50" s="1" t="s">
        <v>657</v>
      </c>
      <c r="E50" s="1" t="s">
        <v>658</v>
      </c>
    </row>
    <row r="51" ht="15">
      <c r="D51" s="1" t="s">
        <v>1509</v>
      </c>
    </row>
    <row r="52" spans="3:9" ht="15">
      <c r="C52" s="1" t="s">
        <v>1496</v>
      </c>
      <c r="D52" s="3" t="s">
        <v>662</v>
      </c>
      <c r="E52" s="3" t="s">
        <v>1159</v>
      </c>
      <c r="F52" s="3" t="s">
        <v>664</v>
      </c>
      <c r="G52" s="3" t="s">
        <v>665</v>
      </c>
      <c r="H52" s="3" t="s">
        <v>666</v>
      </c>
      <c r="I52" s="3" t="s">
        <v>1498</v>
      </c>
    </row>
    <row r="53" spans="3:4" ht="15">
      <c r="C53" s="1" t="s">
        <v>669</v>
      </c>
      <c r="D53" s="1" t="s">
        <v>1510</v>
      </c>
    </row>
    <row r="54" spans="3:8" ht="15">
      <c r="C54" s="1" t="s">
        <v>671</v>
      </c>
      <c r="D54" s="1" t="s">
        <v>1511</v>
      </c>
      <c r="H54" s="1" t="s">
        <v>1512</v>
      </c>
    </row>
    <row r="55" ht="15">
      <c r="D55" s="1" t="s">
        <v>1513</v>
      </c>
    </row>
    <row r="56" spans="3:8" ht="15">
      <c r="C56" s="1" t="s">
        <v>1514</v>
      </c>
      <c r="D56" s="1" t="s">
        <v>1515</v>
      </c>
      <c r="E56" s="1" t="s">
        <v>677</v>
      </c>
      <c r="G56" s="2" t="s">
        <v>1516</v>
      </c>
      <c r="H56" s="1" t="s">
        <v>1517</v>
      </c>
    </row>
    <row r="57" ht="15">
      <c r="D57" s="1" t="s">
        <v>1518</v>
      </c>
    </row>
    <row r="58" ht="15">
      <c r="D58" s="1" t="s">
        <v>1519</v>
      </c>
    </row>
    <row r="59" ht="15">
      <c r="D59" s="1" t="s">
        <v>1520</v>
      </c>
    </row>
    <row r="60" ht="15">
      <c r="D60" s="1" t="s">
        <v>1521</v>
      </c>
    </row>
    <row r="61" ht="15">
      <c r="D61" s="1" t="s">
        <v>1522</v>
      </c>
    </row>
    <row r="62" spans="3:4" ht="15">
      <c r="C62" s="2" t="s">
        <v>1523</v>
      </c>
      <c r="D62" s="1" t="s">
        <v>1524</v>
      </c>
    </row>
    <row r="63" spans="3:7" ht="15">
      <c r="C63" s="2" t="s">
        <v>1525</v>
      </c>
      <c r="D63" s="1" t="s">
        <v>1526</v>
      </c>
      <c r="G63" s="1" t="s">
        <v>1527</v>
      </c>
    </row>
    <row r="64" spans="2:3" ht="15">
      <c r="B64" s="1" t="s">
        <v>1528</v>
      </c>
      <c r="C64" s="1" t="s">
        <v>1529</v>
      </c>
    </row>
    <row r="65" spans="3:11" ht="15">
      <c r="C65" s="1" t="s">
        <v>1530</v>
      </c>
      <c r="D65" s="1" t="s">
        <v>1531</v>
      </c>
      <c r="K65" s="1" t="s">
        <v>689</v>
      </c>
    </row>
    <row r="66" spans="1:8" ht="15">
      <c r="A66" s="24"/>
      <c r="B66" s="24"/>
      <c r="C66" s="24" t="s">
        <v>1532</v>
      </c>
      <c r="D66" s="1" t="s">
        <v>1533</v>
      </c>
      <c r="G66" s="24"/>
      <c r="H66" s="24"/>
    </row>
    <row r="67" spans="4:8" ht="15">
      <c r="D67" s="1" t="s">
        <v>1534</v>
      </c>
      <c r="E67" s="1" t="s">
        <v>764</v>
      </c>
      <c r="H67" s="1" t="s">
        <v>1535</v>
      </c>
    </row>
    <row r="68" ht="15">
      <c r="E68" s="1" t="s">
        <v>690</v>
      </c>
    </row>
    <row r="69" ht="15">
      <c r="D69" s="1" t="s">
        <v>1536</v>
      </c>
    </row>
    <row r="70" ht="15">
      <c r="D70" s="1" t="s">
        <v>1517</v>
      </c>
    </row>
    <row r="71" ht="15">
      <c r="D71" s="1" t="s">
        <v>1537</v>
      </c>
    </row>
    <row r="72" spans="4:7" ht="15">
      <c r="D72" s="24" t="s">
        <v>693</v>
      </c>
      <c r="E72" s="24"/>
      <c r="F72" s="24"/>
      <c r="G72" s="24"/>
    </row>
    <row r="73" spans="4:11" ht="15.75">
      <c r="D73" s="3" t="s">
        <v>694</v>
      </c>
      <c r="E73" s="3" t="s">
        <v>695</v>
      </c>
      <c r="F73" s="3" t="s">
        <v>112</v>
      </c>
      <c r="G73" s="3" t="s">
        <v>696</v>
      </c>
      <c r="H73" s="7" t="s">
        <v>697</v>
      </c>
      <c r="I73" s="7" t="s">
        <v>698</v>
      </c>
      <c r="J73" s="7" t="s">
        <v>699</v>
      </c>
      <c r="K73" s="3" t="s">
        <v>1538</v>
      </c>
    </row>
    <row r="74" spans="4:11" ht="15.75">
      <c r="D74" s="4">
        <v>1.2</v>
      </c>
      <c r="E74" s="4">
        <v>0.02</v>
      </c>
      <c r="F74" s="4">
        <v>0.12</v>
      </c>
      <c r="G74" s="4">
        <v>13.979387755102042</v>
      </c>
      <c r="H74" s="31">
        <f>D74*$D$10/(1-E74)</f>
        <v>11.644897959183673</v>
      </c>
      <c r="I74" s="31">
        <f>$H$10+(D74-1)*$D$10+H74*E74</f>
        <v>12.814897959183673</v>
      </c>
      <c r="J74" s="31">
        <f>I74+F74*G74</f>
        <v>14.492424489795917</v>
      </c>
      <c r="K74" s="4">
        <v>0</v>
      </c>
    </row>
    <row r="75" spans="5:12" ht="15.75">
      <c r="E75" s="1" t="s">
        <v>1539</v>
      </c>
      <c r="F75" s="1" t="s">
        <v>701</v>
      </c>
      <c r="G75" s="1" t="s">
        <v>702</v>
      </c>
      <c r="H75" s="1" t="s">
        <v>703</v>
      </c>
      <c r="J75" s="7" t="s">
        <v>1497</v>
      </c>
      <c r="K75" s="7" t="s">
        <v>704</v>
      </c>
      <c r="L75" s="7" t="s">
        <v>705</v>
      </c>
    </row>
    <row r="76" spans="5:12" ht="15">
      <c r="E76" s="4">
        <v>0.07224922991576518</v>
      </c>
      <c r="F76" s="4">
        <v>0.7113421684988102</v>
      </c>
      <c r="G76" s="4">
        <v>0.17069329479262468</v>
      </c>
      <c r="H76" s="4">
        <v>0.0457153067927999</v>
      </c>
      <c r="J76" s="4">
        <v>8560</v>
      </c>
      <c r="K76" s="4">
        <v>102</v>
      </c>
      <c r="L76" s="4">
        <v>148</v>
      </c>
    </row>
    <row r="77" spans="5:12" ht="15.75">
      <c r="E77" s="1" t="s">
        <v>1540</v>
      </c>
      <c r="F77" s="1" t="s">
        <v>644</v>
      </c>
      <c r="G77" s="1" t="s">
        <v>102</v>
      </c>
      <c r="H77" s="1" t="s">
        <v>646</v>
      </c>
      <c r="I77" s="7" t="s">
        <v>706</v>
      </c>
      <c r="K77" s="7" t="s">
        <v>707</v>
      </c>
      <c r="L77" s="7" t="s">
        <v>708</v>
      </c>
    </row>
    <row r="78" spans="5:12" ht="15.75">
      <c r="E78" s="31">
        <f>($E$10+E76*F74*G74)/J74</f>
        <v>0.07805457263527406</v>
      </c>
      <c r="F78" s="31">
        <f>(($F$10+0.79*(D74-1)*$D$10)+F76*F74*G74)/J74</f>
        <v>0.7062914398627405</v>
      </c>
      <c r="G78" s="31">
        <f>(($G$10+H74*E74)+G76*F74*G74)/J74</f>
        <v>0.1828017452608597</v>
      </c>
      <c r="H78" s="31">
        <f>((0.21*(D74-1)*$D$10)+H76*F74*G74)/J74</f>
        <v>0.03285224224112583</v>
      </c>
      <c r="I78" s="31">
        <f>1+H78*$E$10/(E78*0.21*$D$10)</f>
        <v>1.2128571428571429</v>
      </c>
      <c r="K78" s="31">
        <f>J76+K76*H74+L76*F74*G74+K74</f>
        <v>9996.053518367347</v>
      </c>
      <c r="L78" s="31">
        <f>K78/J74</f>
        <v>689.743356979748</v>
      </c>
    </row>
    <row r="79" spans="5:11" ht="15.75">
      <c r="E79" s="1" t="s">
        <v>709</v>
      </c>
      <c r="F79" s="1" t="s">
        <v>710</v>
      </c>
      <c r="H79" s="24"/>
      <c r="I79" s="7" t="s">
        <v>711</v>
      </c>
      <c r="J79" s="7" t="s">
        <v>712</v>
      </c>
      <c r="K79" s="7" t="s">
        <v>713</v>
      </c>
    </row>
    <row r="80" spans="9:11" ht="15.75">
      <c r="I80" s="31">
        <f>1+H78*((I74*I74+G74*F74*G74)/J74)/(0.21*$D$10)</f>
        <v>1.213022057324554</v>
      </c>
      <c r="J80" s="31">
        <f>I78</f>
        <v>1.2128571428571429</v>
      </c>
      <c r="K80" s="31">
        <f>1+(F78*$E$10/E78-$F$10)/(0.79*$D$10)</f>
        <v>1.2128571428571429</v>
      </c>
    </row>
    <row r="81" spans="7:9" ht="15">
      <c r="G81" s="24" t="s">
        <v>648</v>
      </c>
      <c r="H81" s="24"/>
      <c r="I81" s="24"/>
    </row>
    <row r="83" spans="3:5" ht="15">
      <c r="C83" s="1" t="s">
        <v>520</v>
      </c>
      <c r="E83" s="1" t="s">
        <v>714</v>
      </c>
    </row>
    <row r="84" ht="15">
      <c r="D84" s="1" t="s">
        <v>715</v>
      </c>
    </row>
    <row r="85" spans="3:7" ht="15">
      <c r="C85" s="1" t="s">
        <v>32</v>
      </c>
      <c r="D85" s="1" t="s">
        <v>132</v>
      </c>
      <c r="E85" s="1" t="s">
        <v>716</v>
      </c>
      <c r="G85" s="1" t="s">
        <v>717</v>
      </c>
    </row>
    <row r="86" ht="15">
      <c r="D86" s="1" t="s">
        <v>718</v>
      </c>
    </row>
    <row r="87" spans="2:5" ht="15">
      <c r="B87" s="1" t="s">
        <v>719</v>
      </c>
      <c r="C87" s="1" t="s">
        <v>720</v>
      </c>
      <c r="D87" s="1" t="s">
        <v>520</v>
      </c>
      <c r="E87" s="1" t="s">
        <v>150</v>
      </c>
    </row>
    <row r="88" ht="15">
      <c r="D88" s="1" t="s">
        <v>721</v>
      </c>
    </row>
    <row r="89" spans="2:5" ht="15">
      <c r="B89" s="1" t="s">
        <v>722</v>
      </c>
      <c r="C89" s="1" t="s">
        <v>723</v>
      </c>
      <c r="D89" s="1" t="s">
        <v>520</v>
      </c>
      <c r="E89" s="1" t="s">
        <v>724</v>
      </c>
    </row>
    <row r="90" ht="15">
      <c r="D90" s="1" t="s">
        <v>725</v>
      </c>
    </row>
    <row r="91" spans="3:5" ht="15">
      <c r="C91" s="1" t="s">
        <v>726</v>
      </c>
      <c r="D91" s="1" t="s">
        <v>520</v>
      </c>
      <c r="E91" s="1" t="s">
        <v>727</v>
      </c>
    </row>
    <row r="92" spans="3:6" ht="15">
      <c r="C92" s="1" t="s">
        <v>728</v>
      </c>
      <c r="D92" s="1" t="s">
        <v>520</v>
      </c>
      <c r="E92" s="1" t="s">
        <v>729</v>
      </c>
      <c r="F92" s="1" t="s">
        <v>730</v>
      </c>
    </row>
    <row r="93" spans="3:6" ht="15">
      <c r="C93" s="1" t="s">
        <v>731</v>
      </c>
      <c r="D93" s="1" t="s">
        <v>520</v>
      </c>
      <c r="F93" s="1" t="s">
        <v>732</v>
      </c>
    </row>
    <row r="94" spans="3:6" ht="15">
      <c r="C94" s="1" t="s">
        <v>733</v>
      </c>
      <c r="D94" s="1" t="s">
        <v>520</v>
      </c>
      <c r="F94" s="1" t="s">
        <v>734</v>
      </c>
    </row>
    <row r="95" spans="5:6" ht="15">
      <c r="E95" s="24" t="s">
        <v>1541</v>
      </c>
      <c r="F95" s="24"/>
    </row>
    <row r="96" spans="5:7" ht="15">
      <c r="E96" s="24" t="s">
        <v>1542</v>
      </c>
      <c r="F96" s="24"/>
      <c r="G96" s="24"/>
    </row>
    <row r="97" ht="15">
      <c r="E97" s="1" t="s">
        <v>1543</v>
      </c>
    </row>
    <row r="98" spans="3:5" ht="15">
      <c r="C98" s="2" t="s">
        <v>1544</v>
      </c>
      <c r="D98" s="1" t="s">
        <v>1545</v>
      </c>
      <c r="E98" s="1" t="s">
        <v>1546</v>
      </c>
    </row>
    <row r="99" ht="15">
      <c r="E99" s="1" t="s">
        <v>1547</v>
      </c>
    </row>
    <row r="100" spans="4:5" ht="15">
      <c r="D100" s="1" t="s">
        <v>1548</v>
      </c>
      <c r="E100" s="1" t="s">
        <v>1549</v>
      </c>
    </row>
    <row r="101" spans="5:7" ht="15">
      <c r="E101" s="24" t="s">
        <v>1550</v>
      </c>
      <c r="F101" s="24"/>
      <c r="G101" s="24"/>
    </row>
    <row r="102" spans="2:4" ht="15">
      <c r="B102" s="1" t="s">
        <v>735</v>
      </c>
      <c r="C102" s="1" t="s">
        <v>736</v>
      </c>
      <c r="D102" s="1" t="s">
        <v>737</v>
      </c>
    </row>
    <row r="103" ht="15">
      <c r="D103" s="1" t="s">
        <v>738</v>
      </c>
    </row>
    <row r="104" spans="2:12" ht="15">
      <c r="B104" s="1" t="s">
        <v>739</v>
      </c>
      <c r="C104" s="1" t="s">
        <v>740</v>
      </c>
      <c r="D104" s="1" t="s">
        <v>741</v>
      </c>
      <c r="J104" s="1" t="s">
        <v>742</v>
      </c>
      <c r="K104" s="24"/>
      <c r="L104" s="1" t="s">
        <v>1551</v>
      </c>
    </row>
    <row r="105" spans="4:8" ht="15">
      <c r="D105" s="24" t="s">
        <v>1552</v>
      </c>
      <c r="E105" s="24"/>
      <c r="F105" s="24"/>
      <c r="G105" s="24"/>
      <c r="H105" s="24"/>
    </row>
    <row r="106" ht="15">
      <c r="E106" s="1" t="s">
        <v>724</v>
      </c>
    </row>
    <row r="107" spans="2:5" ht="15">
      <c r="B107" s="2" t="s">
        <v>1553</v>
      </c>
      <c r="C107" s="1" t="s">
        <v>1554</v>
      </c>
      <c r="D107" s="1" t="s">
        <v>520</v>
      </c>
      <c r="E107" s="1" t="s">
        <v>1555</v>
      </c>
    </row>
    <row r="108" spans="3:8" ht="15">
      <c r="C108" s="1" t="s">
        <v>1556</v>
      </c>
      <c r="D108" s="1" t="s">
        <v>520</v>
      </c>
      <c r="E108" s="1" t="s">
        <v>1557</v>
      </c>
      <c r="F108" s="1" t="s">
        <v>1558</v>
      </c>
      <c r="H108" s="1" t="s">
        <v>1559</v>
      </c>
    </row>
    <row r="109" ht="15">
      <c r="D109" s="1" t="s">
        <v>1560</v>
      </c>
    </row>
    <row r="110" ht="15">
      <c r="D110" s="1" t="s">
        <v>1561</v>
      </c>
    </row>
    <row r="111" spans="4:8" ht="15">
      <c r="D111" s="1" t="s">
        <v>1562</v>
      </c>
      <c r="E111" s="1" t="s">
        <v>323</v>
      </c>
      <c r="H111" s="1" t="s">
        <v>1563</v>
      </c>
    </row>
    <row r="112" spans="3:5" ht="15">
      <c r="C112" s="1" t="s">
        <v>1564</v>
      </c>
      <c r="D112" s="1" t="s">
        <v>1565</v>
      </c>
      <c r="E112" s="1" t="s">
        <v>1566</v>
      </c>
    </row>
    <row r="113" ht="15">
      <c r="D113" s="1" t="s">
        <v>1567</v>
      </c>
    </row>
    <row r="114" spans="3:4" ht="15">
      <c r="C114" s="1" t="s">
        <v>1568</v>
      </c>
      <c r="D114" s="1" t="s">
        <v>1569</v>
      </c>
    </row>
    <row r="115" spans="2:8" ht="15">
      <c r="B115" s="2" t="s">
        <v>1570</v>
      </c>
      <c r="C115" s="1" t="s">
        <v>1571</v>
      </c>
      <c r="D115" s="1" t="s">
        <v>1572</v>
      </c>
      <c r="H115" s="1" t="s">
        <v>1573</v>
      </c>
    </row>
    <row r="117" spans="3:6" ht="15">
      <c r="C117" s="1" t="s">
        <v>1574</v>
      </c>
      <c r="D117" s="24" t="s">
        <v>1575</v>
      </c>
      <c r="E117" s="24"/>
      <c r="F117" s="24"/>
    </row>
    <row r="118" ht="15">
      <c r="D118" s="1" t="s">
        <v>724</v>
      </c>
    </row>
    <row r="119" spans="3:4" ht="15">
      <c r="C119" s="1" t="s">
        <v>1576</v>
      </c>
      <c r="D119" s="1" t="s">
        <v>1577</v>
      </c>
    </row>
    <row r="120" spans="4:5" ht="15">
      <c r="D120" s="1" t="s">
        <v>1578</v>
      </c>
      <c r="E120" s="1" t="s">
        <v>1579</v>
      </c>
    </row>
    <row r="121" spans="4:12" ht="15">
      <c r="D121" s="1" t="s">
        <v>1580</v>
      </c>
      <c r="E121" s="1" t="s">
        <v>1581</v>
      </c>
      <c r="I121" s="1" t="s">
        <v>1582</v>
      </c>
      <c r="J121" s="1" t="s">
        <v>1558</v>
      </c>
      <c r="L121" s="1" t="s">
        <v>1559</v>
      </c>
    </row>
    <row r="122" spans="3:5" ht="15.75">
      <c r="C122" s="2" t="s">
        <v>1583</v>
      </c>
      <c r="D122" s="19" t="s">
        <v>1239</v>
      </c>
      <c r="E122" s="1" t="s">
        <v>1584</v>
      </c>
    </row>
    <row r="123" ht="15">
      <c r="E123" s="1" t="s">
        <v>1585</v>
      </c>
    </row>
    <row r="124" ht="15">
      <c r="E124" s="1" t="s">
        <v>1547</v>
      </c>
    </row>
    <row r="125" spans="4:5" ht="15">
      <c r="D125" s="1" t="s">
        <v>1586</v>
      </c>
      <c r="E125" s="1" t="s">
        <v>1587</v>
      </c>
    </row>
    <row r="126" spans="5:7" ht="15">
      <c r="E126" s="24" t="s">
        <v>1542</v>
      </c>
      <c r="F126" s="24"/>
      <c r="G126" s="24"/>
    </row>
    <row r="127" ht="15">
      <c r="E127" s="1" t="s">
        <v>1546</v>
      </c>
    </row>
    <row r="128" ht="15">
      <c r="E128" s="1" t="s">
        <v>1547</v>
      </c>
    </row>
    <row r="129" spans="4:5" ht="15">
      <c r="D129" s="1" t="s">
        <v>1586</v>
      </c>
      <c r="E129" s="1" t="s">
        <v>1549</v>
      </c>
    </row>
    <row r="130" spans="5:6" ht="15">
      <c r="E130" s="24" t="s">
        <v>1588</v>
      </c>
      <c r="F130" s="24"/>
    </row>
    <row r="131" ht="15">
      <c r="F131" s="1" t="s">
        <v>1589</v>
      </c>
    </row>
    <row r="133" spans="5:7" ht="15">
      <c r="E133" s="24" t="s">
        <v>744</v>
      </c>
      <c r="F133" s="24"/>
      <c r="G133" s="24"/>
    </row>
    <row r="134" spans="3:4" ht="15">
      <c r="C134" s="1" t="s">
        <v>745</v>
      </c>
      <c r="D134" s="1" t="s">
        <v>746</v>
      </c>
    </row>
    <row r="135" spans="3:6" ht="15">
      <c r="C135" s="1" t="s">
        <v>1590</v>
      </c>
      <c r="D135" s="1" t="s">
        <v>1132</v>
      </c>
      <c r="F135" s="1" t="s">
        <v>1591</v>
      </c>
    </row>
    <row r="136" ht="15">
      <c r="E136" s="1" t="s">
        <v>751</v>
      </c>
    </row>
    <row r="137" spans="3:4" ht="15">
      <c r="C137" s="1" t="s">
        <v>745</v>
      </c>
      <c r="D137" s="1" t="s">
        <v>746</v>
      </c>
    </row>
    <row r="138" spans="2:9" ht="15">
      <c r="B138" s="1" t="s">
        <v>752</v>
      </c>
      <c r="C138" s="1" t="s">
        <v>753</v>
      </c>
      <c r="D138" s="1" t="s">
        <v>126</v>
      </c>
      <c r="I138" s="1" t="s">
        <v>1592</v>
      </c>
    </row>
    <row r="139" spans="2:4" ht="15">
      <c r="B139" s="1" t="s">
        <v>755</v>
      </c>
      <c r="C139" s="1" t="s">
        <v>756</v>
      </c>
      <c r="D139" s="1" t="s">
        <v>757</v>
      </c>
    </row>
    <row r="140" spans="2:9" ht="15">
      <c r="B140" s="1" t="s">
        <v>758</v>
      </c>
      <c r="C140" s="1" t="s">
        <v>759</v>
      </c>
      <c r="D140" s="1" t="s">
        <v>520</v>
      </c>
      <c r="E140" s="1" t="s">
        <v>760</v>
      </c>
      <c r="H140" s="1" t="s">
        <v>761</v>
      </c>
      <c r="I140" s="1" t="s">
        <v>762</v>
      </c>
    </row>
    <row r="141" spans="4:8" ht="15">
      <c r="D141" s="1" t="s">
        <v>1534</v>
      </c>
      <c r="E141" s="1" t="s">
        <v>764</v>
      </c>
      <c r="H141" s="1" t="s">
        <v>1535</v>
      </c>
    </row>
    <row r="142" spans="3:5" ht="15">
      <c r="C142" s="1" t="s">
        <v>1593</v>
      </c>
      <c r="D142" s="1" t="s">
        <v>1594</v>
      </c>
      <c r="E142" s="1" t="s">
        <v>317</v>
      </c>
    </row>
    <row r="143" spans="3:4" ht="15">
      <c r="C143" s="1" t="s">
        <v>768</v>
      </c>
      <c r="D143" s="1" t="s">
        <v>769</v>
      </c>
    </row>
    <row r="144" ht="15">
      <c r="E144" s="1" t="s">
        <v>770</v>
      </c>
    </row>
    <row r="145" ht="15">
      <c r="D145" s="1" t="s">
        <v>771</v>
      </c>
    </row>
    <row r="146" ht="15">
      <c r="E146" s="1" t="s">
        <v>772</v>
      </c>
    </row>
    <row r="147" spans="3:8" ht="15">
      <c r="C147" s="1" t="s">
        <v>773</v>
      </c>
      <c r="D147" s="1" t="s">
        <v>774</v>
      </c>
      <c r="G147" s="1" t="s">
        <v>775</v>
      </c>
      <c r="H147" s="1" t="s">
        <v>776</v>
      </c>
    </row>
    <row r="148" spans="3:8" ht="15">
      <c r="C148" s="1" t="s">
        <v>777</v>
      </c>
      <c r="D148" s="1" t="s">
        <v>778</v>
      </c>
      <c r="G148" s="1" t="s">
        <v>779</v>
      </c>
      <c r="H148" s="1" t="s">
        <v>780</v>
      </c>
    </row>
    <row r="149" ht="15">
      <c r="E149" s="1" t="s">
        <v>781</v>
      </c>
    </row>
    <row r="150" spans="2:3" ht="15">
      <c r="B150" s="1" t="s">
        <v>782</v>
      </c>
      <c r="C150" s="1" t="s">
        <v>783</v>
      </c>
    </row>
    <row r="151" spans="2:3" ht="15">
      <c r="B151" s="1" t="s">
        <v>784</v>
      </c>
      <c r="C151" s="1" t="s">
        <v>785</v>
      </c>
    </row>
    <row r="152" spans="3:4" ht="15">
      <c r="C152" s="2" t="s">
        <v>786</v>
      </c>
      <c r="D152" s="1" t="s">
        <v>787</v>
      </c>
    </row>
    <row r="153" spans="3:5" ht="15">
      <c r="C153" s="2" t="s">
        <v>788</v>
      </c>
      <c r="D153" s="1" t="s">
        <v>789</v>
      </c>
      <c r="E153" s="1" t="s">
        <v>790</v>
      </c>
    </row>
    <row r="154" spans="3:4" ht="15">
      <c r="C154" s="2" t="s">
        <v>791</v>
      </c>
      <c r="D154" s="1" t="s">
        <v>792</v>
      </c>
    </row>
    <row r="155" ht="15">
      <c r="E155" s="1" t="s">
        <v>793</v>
      </c>
    </row>
    <row r="156" spans="3:4" ht="15">
      <c r="C156" s="1" t="s">
        <v>794</v>
      </c>
      <c r="D156" s="1" t="s">
        <v>795</v>
      </c>
    </row>
    <row r="157" spans="3:4" ht="15">
      <c r="C157" s="1" t="s">
        <v>796</v>
      </c>
      <c r="D157" s="1" t="s">
        <v>797</v>
      </c>
    </row>
    <row r="158" spans="3:4" ht="15">
      <c r="C158" s="1" t="s">
        <v>798</v>
      </c>
      <c r="D158" s="1" t="s">
        <v>799</v>
      </c>
    </row>
    <row r="159" spans="3:4" ht="15">
      <c r="C159" s="1" t="s">
        <v>798</v>
      </c>
      <c r="D159" s="1" t="s">
        <v>800</v>
      </c>
    </row>
    <row r="160" spans="3:4" ht="15">
      <c r="C160" s="1" t="s">
        <v>801</v>
      </c>
      <c r="D160" s="1" t="s">
        <v>802</v>
      </c>
    </row>
    <row r="161" spans="2:4" ht="15">
      <c r="B161" s="2" t="s">
        <v>788</v>
      </c>
      <c r="C161" s="1" t="s">
        <v>803</v>
      </c>
      <c r="D161" s="1" t="s">
        <v>804</v>
      </c>
    </row>
    <row r="162" ht="15">
      <c r="E162" s="1" t="s">
        <v>805</v>
      </c>
    </row>
    <row r="163" spans="3:4" ht="15">
      <c r="C163" s="2" t="s">
        <v>806</v>
      </c>
      <c r="D163" s="1" t="s">
        <v>807</v>
      </c>
    </row>
    <row r="165" spans="4:8" ht="15">
      <c r="D165" s="24" t="s">
        <v>808</v>
      </c>
      <c r="E165" s="24"/>
      <c r="F165" s="24"/>
      <c r="G165" s="24"/>
      <c r="H165" s="24"/>
    </row>
    <row r="166" spans="4:12" ht="15">
      <c r="D166" s="2" t="s">
        <v>809</v>
      </c>
      <c r="E166" s="1" t="s">
        <v>810</v>
      </c>
      <c r="I166" s="24"/>
      <c r="J166" s="24"/>
      <c r="K166" s="24"/>
      <c r="L166" s="24"/>
    </row>
    <row r="167" spans="4:12" ht="15.75">
      <c r="D167" s="3" t="s">
        <v>694</v>
      </c>
      <c r="E167" s="3" t="s">
        <v>695</v>
      </c>
      <c r="F167" s="3" t="s">
        <v>112</v>
      </c>
      <c r="G167" s="3" t="s">
        <v>696</v>
      </c>
      <c r="H167" s="7" t="s">
        <v>697</v>
      </c>
      <c r="I167" s="7" t="s">
        <v>698</v>
      </c>
      <c r="J167" s="7" t="s">
        <v>699</v>
      </c>
      <c r="K167" s="3" t="s">
        <v>1538</v>
      </c>
      <c r="L167" s="3" t="s">
        <v>1595</v>
      </c>
    </row>
    <row r="168" spans="4:12" ht="15.75">
      <c r="D168" s="4">
        <v>1.2</v>
      </c>
      <c r="E168" s="4">
        <v>0.02</v>
      </c>
      <c r="F168" s="4">
        <v>0.12</v>
      </c>
      <c r="G168" s="4">
        <v>13.979387755102042</v>
      </c>
      <c r="H168" s="31">
        <f>D168*$D$10/(1-E168)</f>
        <v>11.644897959183673</v>
      </c>
      <c r="I168" s="31">
        <f>$H$10+(D168-1)*$D$10+H168*E168</f>
        <v>12.814897959183673</v>
      </c>
      <c r="J168" s="31">
        <f>I168+F168*G168</f>
        <v>14.492424489795917</v>
      </c>
      <c r="K168" s="4">
        <v>0</v>
      </c>
      <c r="L168" s="4">
        <v>1.06</v>
      </c>
    </row>
    <row r="169" spans="5:12" ht="15.75">
      <c r="E169" s="1" t="s">
        <v>1539</v>
      </c>
      <c r="F169" s="1" t="s">
        <v>701</v>
      </c>
      <c r="G169" s="1" t="s">
        <v>702</v>
      </c>
      <c r="H169" s="1" t="s">
        <v>703</v>
      </c>
      <c r="I169" s="3" t="s">
        <v>1596</v>
      </c>
      <c r="J169" s="7" t="s">
        <v>1497</v>
      </c>
      <c r="K169" s="7" t="s">
        <v>704</v>
      </c>
      <c r="L169" s="7" t="s">
        <v>705</v>
      </c>
    </row>
    <row r="170" spans="5:12" ht="15">
      <c r="E170" s="4">
        <v>0.07224922991576518</v>
      </c>
      <c r="F170" s="4">
        <v>0.7113421684988102</v>
      </c>
      <c r="G170" s="4">
        <v>0.17069329479262468</v>
      </c>
      <c r="H170" s="4">
        <v>0.0457153067927999</v>
      </c>
      <c r="I170" s="4">
        <v>0</v>
      </c>
      <c r="J170" s="4">
        <v>8560</v>
      </c>
      <c r="K170" s="4">
        <v>102</v>
      </c>
      <c r="L170" s="4">
        <v>148</v>
      </c>
    </row>
    <row r="171" spans="5:12" ht="15.75">
      <c r="E171" s="1" t="s">
        <v>1540</v>
      </c>
      <c r="F171" s="1" t="s">
        <v>644</v>
      </c>
      <c r="G171" s="1" t="s">
        <v>102</v>
      </c>
      <c r="H171" s="1" t="s">
        <v>646</v>
      </c>
      <c r="I171" s="3" t="s">
        <v>1597</v>
      </c>
      <c r="J171" s="7" t="s">
        <v>706</v>
      </c>
      <c r="K171" s="7" t="s">
        <v>707</v>
      </c>
      <c r="L171" s="7" t="s">
        <v>708</v>
      </c>
    </row>
    <row r="172" spans="5:12" ht="15.75">
      <c r="E172" s="31">
        <f>($E$10+E170*F168*G168)/J168</f>
        <v>0.07805457263527406</v>
      </c>
      <c r="F172" s="31">
        <f>(($F$10+0.79*(D168-1)*$D$10)+F170*F168*G168)/J168</f>
        <v>0.7062914398627405</v>
      </c>
      <c r="G172" s="31">
        <f>(($G$10+H168*E168)+G170*F168*G168)/J168</f>
        <v>0.1828017452608597</v>
      </c>
      <c r="H172" s="31">
        <f>((0.21*(D168-1)*$D$10)+H170*F168*G168)/J168</f>
        <v>0.03285224224112583</v>
      </c>
      <c r="I172" s="31">
        <f>(K10*$H$10+I170*F168*G168)/J168</f>
        <v>0</v>
      </c>
      <c r="J172" s="31">
        <f>1+H172*$E$10/(E172*0.21*$D$10)</f>
        <v>1.2128571428571429</v>
      </c>
      <c r="K172" s="31">
        <f>J170+K170*H168+L170*F168*G168+K168</f>
        <v>9996.053518367347</v>
      </c>
      <c r="L172" s="31">
        <f>K172/J168</f>
        <v>689.743356979748</v>
      </c>
    </row>
    <row r="173" spans="5:11" ht="15.75">
      <c r="E173" s="1" t="s">
        <v>709</v>
      </c>
      <c r="F173" s="24" t="s">
        <v>710</v>
      </c>
      <c r="G173" s="24"/>
      <c r="H173" s="24"/>
      <c r="I173" s="7" t="s">
        <v>711</v>
      </c>
      <c r="J173" s="7" t="s">
        <v>712</v>
      </c>
      <c r="K173" s="7" t="s">
        <v>713</v>
      </c>
    </row>
    <row r="174" spans="9:11" ht="15.75">
      <c r="I174" s="31">
        <f>1+H172*((I168*I168+G168*F168*G168)/J168)/(0.21*$D$10)</f>
        <v>1.213022057324554</v>
      </c>
      <c r="J174" s="31">
        <f>J172</f>
        <v>1.2128571428571429</v>
      </c>
      <c r="K174" s="31">
        <f>1+(F172*$E$10/E172-$F$10)/(0.79*$D$10)</f>
        <v>1.2128571428571429</v>
      </c>
    </row>
    <row r="175" spans="4:10" ht="15">
      <c r="D175" s="1" t="s">
        <v>1598</v>
      </c>
      <c r="F175" s="24"/>
      <c r="G175" s="24"/>
      <c r="H175" s="24"/>
      <c r="I175" s="24"/>
      <c r="J175" s="24"/>
    </row>
    <row r="176" spans="2:9" ht="15">
      <c r="B176" s="2" t="s">
        <v>812</v>
      </c>
      <c r="C176" s="1" t="s">
        <v>1599</v>
      </c>
      <c r="D176" s="1" t="s">
        <v>644</v>
      </c>
      <c r="E176" s="1" t="s">
        <v>102</v>
      </c>
      <c r="F176" s="1" t="s">
        <v>1540</v>
      </c>
      <c r="G176" s="1" t="s">
        <v>646</v>
      </c>
      <c r="H176" s="3" t="s">
        <v>396</v>
      </c>
      <c r="I176" s="3" t="s">
        <v>813</v>
      </c>
    </row>
    <row r="177" spans="4:9" ht="15.75">
      <c r="D177" s="31">
        <f>F172</f>
        <v>0.7062914398627405</v>
      </c>
      <c r="E177" s="31">
        <f>G172</f>
        <v>0.1828017452608597</v>
      </c>
      <c r="F177" s="31">
        <f>E172</f>
        <v>0.07805457263527406</v>
      </c>
      <c r="G177" s="31">
        <f>H172</f>
        <v>0.03285224224112583</v>
      </c>
      <c r="H177" s="31">
        <f>I172</f>
        <v>0</v>
      </c>
      <c r="I177" s="31">
        <f>L172</f>
        <v>689.743356979748</v>
      </c>
    </row>
    <row r="178" spans="4:10" ht="15">
      <c r="D178" s="1" t="s">
        <v>88</v>
      </c>
      <c r="E178" s="1" t="s">
        <v>306</v>
      </c>
      <c r="F178" s="1" t="s">
        <v>1508</v>
      </c>
      <c r="G178" s="1" t="s">
        <v>387</v>
      </c>
      <c r="H178" s="3" t="s">
        <v>397</v>
      </c>
      <c r="I178" s="3" t="s">
        <v>708</v>
      </c>
      <c r="J178" s="3" t="s">
        <v>544</v>
      </c>
    </row>
    <row r="179" spans="4:10" ht="15.75">
      <c r="D179" s="31">
        <f>(0.309701-0.00000555238*(J179+100)^1.1+0.0000000160444*(J179+100)^2.2-0.00000000000568436*(J179+100)^3.3+0.000000000000000856875*(J179+100)^4.4-0.0000000000000000000482474*(J179+100)^5.5)*J179</f>
        <v>623.0479487416427</v>
      </c>
      <c r="E179" s="31">
        <f>(0.356179-0.0000326182*(J179+100)^0.8+0.00000129519*(J179+100)^1.6-0.00000000148934*(J179+100)^2.4-0.000000000000594678*(J179+100)^3.2+0.00000000000000129158*(J179+100)^4)*J179</f>
        <v>814.2610592488728</v>
      </c>
      <c r="F179" s="31">
        <f>(0.34584+0.0008688*(J179+100)^0.82-0.00000109945*(J179+100)^1.64+0.00000000054341*(J179+100)^2.46)*J179</f>
        <v>1014.4095710511822</v>
      </c>
      <c r="G179" s="31">
        <f>(0.317715-0.000574557*(J179+100)^0.7+0.0000164618*(J179+100)^1.4-0.000000119525*(J179+100)^2.1+0.000000000385185*(J179+100)^2.8-0.000000000000467365*(J179+100)^3.5)*J179</f>
        <v>659.3850041135576</v>
      </c>
      <c r="H179" s="31">
        <f>0.10364*J179^1.12+0.26993*IF(J179&lt;=1300,0,(J179-1300)^0.9)</f>
        <v>522.2022724285655</v>
      </c>
      <c r="I179" s="31">
        <f>D177*D179+E177*E179+F177*F179+G177*G179+0.001*H177*H179</f>
        <v>689.743356979748</v>
      </c>
      <c r="J179" s="31">
        <f>J179+2.5*(I177-I179)</f>
        <v>1778.6166113911092</v>
      </c>
    </row>
    <row r="180" spans="5:6" ht="15">
      <c r="E180" s="24" t="s">
        <v>814</v>
      </c>
      <c r="F180" s="24"/>
    </row>
    <row r="181" spans="4:12" ht="15">
      <c r="D181" s="3" t="s">
        <v>815</v>
      </c>
      <c r="E181" s="3" t="s">
        <v>816</v>
      </c>
      <c r="F181" s="3" t="s">
        <v>817</v>
      </c>
      <c r="G181" s="3" t="s">
        <v>102</v>
      </c>
      <c r="H181" s="3" t="s">
        <v>647</v>
      </c>
      <c r="I181" s="3" t="s">
        <v>667</v>
      </c>
      <c r="J181" s="3" t="s">
        <v>694</v>
      </c>
      <c r="K181" s="3" t="s">
        <v>707</v>
      </c>
      <c r="L181" s="3" t="s">
        <v>818</v>
      </c>
    </row>
    <row r="182" spans="4:12" ht="15.75">
      <c r="D182" s="4">
        <v>6.3</v>
      </c>
      <c r="E182" s="4">
        <v>0.1</v>
      </c>
      <c r="F182" s="4">
        <v>1</v>
      </c>
      <c r="G182" s="31">
        <f>E177</f>
        <v>0.1828017452608597</v>
      </c>
      <c r="H182" s="31">
        <f>E177+F177</f>
        <v>0.2608563178961338</v>
      </c>
      <c r="I182" s="4">
        <v>3.08</v>
      </c>
      <c r="J182" s="31">
        <f>D168</f>
        <v>1.2</v>
      </c>
      <c r="K182" s="31">
        <f>K172</f>
        <v>9996.053518367347</v>
      </c>
      <c r="L182" s="31">
        <f>J179+273</f>
        <v>2051.6166113911095</v>
      </c>
    </row>
    <row r="183" spans="4:12" ht="15">
      <c r="D183" s="3" t="s">
        <v>819</v>
      </c>
      <c r="E183" s="3" t="s">
        <v>1597</v>
      </c>
      <c r="F183" s="3" t="s">
        <v>1600</v>
      </c>
      <c r="G183" s="3" t="s">
        <v>1601</v>
      </c>
      <c r="H183" s="3" t="s">
        <v>1602</v>
      </c>
      <c r="I183" s="3" t="s">
        <v>699</v>
      </c>
      <c r="J183" s="3" t="s">
        <v>112</v>
      </c>
      <c r="K183" s="3" t="s">
        <v>1603</v>
      </c>
      <c r="L183" s="24" t="s">
        <v>826</v>
      </c>
    </row>
    <row r="184" spans="4:12" ht="15.75">
      <c r="D184" s="4">
        <v>0.55</v>
      </c>
      <c r="E184" s="31">
        <f>I172*L168</f>
        <v>0</v>
      </c>
      <c r="F184" s="4">
        <v>16</v>
      </c>
      <c r="G184" s="4">
        <v>0</v>
      </c>
      <c r="H184" s="4">
        <v>0</v>
      </c>
      <c r="I184" s="31">
        <f>J168</f>
        <v>14.492424489795917</v>
      </c>
      <c r="J184" s="31">
        <f>F168</f>
        <v>0.12</v>
      </c>
      <c r="K184" s="31">
        <f>G184*H184*$H$10/I184</f>
        <v>0</v>
      </c>
      <c r="L184" s="33">
        <f>L196</f>
        <v>1412.9473721185686</v>
      </c>
    </row>
    <row r="185" spans="4:11" ht="15">
      <c r="D185" s="3" t="s">
        <v>820</v>
      </c>
      <c r="E185" s="3" t="s">
        <v>821</v>
      </c>
      <c r="F185" s="3" t="s">
        <v>1604</v>
      </c>
      <c r="G185" s="3" t="s">
        <v>1605</v>
      </c>
      <c r="H185" s="3" t="s">
        <v>1606</v>
      </c>
      <c r="I185" s="3" t="s">
        <v>998</v>
      </c>
      <c r="J185" s="3" t="s">
        <v>824</v>
      </c>
      <c r="K185" s="3" t="s">
        <v>825</v>
      </c>
    </row>
    <row r="186" spans="4:11" ht="15.75">
      <c r="D186" s="31">
        <f>((0.78+1.6*G182)/(F182*H182*D182)^0.5-0.1)*(1-0.37*L184/1000)</f>
        <v>0.3515138927491099</v>
      </c>
      <c r="E186" s="31">
        <f>0.03*(2-J182)*(1.6*L184/1000-0.5)*I182</f>
        <v>0.13015211159520734</v>
      </c>
      <c r="F186" s="31">
        <f>7*(F184*L184)^-(2/3)</f>
        <v>0.008755226668201183</v>
      </c>
      <c r="G186" s="31">
        <f>-LN(1-E182+E182*EXP(-E186*F182*D182))/(F182*D182)</f>
        <v>0.009139911493785844</v>
      </c>
      <c r="H186" s="31">
        <f>G186*(1-H184)/(1+J184)</f>
        <v>0.00816063526230879</v>
      </c>
      <c r="I186" s="31">
        <f>D186*H182+F186*E184+K184+H186</f>
        <v>0.0998552550141781</v>
      </c>
      <c r="J186" s="31">
        <f>1-EXP(-I186*F182*D182)</f>
        <v>0.4669223105336113</v>
      </c>
      <c r="K186" s="31">
        <f>J186/(J186+(1-J186)*D184)</f>
        <v>0.6142784790750184</v>
      </c>
    </row>
    <row r="187" spans="4:10" ht="15">
      <c r="D187" s="2" t="s">
        <v>827</v>
      </c>
      <c r="E187" s="1" t="s">
        <v>828</v>
      </c>
      <c r="H187" s="24"/>
      <c r="I187" s="24"/>
      <c r="J187" s="24"/>
    </row>
    <row r="188" spans="4:10" ht="15">
      <c r="D188" s="3" t="s">
        <v>1607</v>
      </c>
      <c r="E188" s="3" t="s">
        <v>830</v>
      </c>
      <c r="F188" s="3" t="s">
        <v>831</v>
      </c>
      <c r="G188" s="3" t="s">
        <v>832</v>
      </c>
      <c r="H188" s="3" t="s">
        <v>1597</v>
      </c>
      <c r="I188" s="3" t="s">
        <v>699</v>
      </c>
      <c r="J188" s="3" t="s">
        <v>544</v>
      </c>
    </row>
    <row r="189" spans="4:10" ht="15.75">
      <c r="D189" s="31">
        <f>F177*J168</f>
        <v>1.1312</v>
      </c>
      <c r="E189" s="31">
        <f>D177*J168</f>
        <v>10.23587536</v>
      </c>
      <c r="F189" s="31">
        <f>E177*J168</f>
        <v>2.649240489795918</v>
      </c>
      <c r="G189" s="31">
        <f>G177*J168</f>
        <v>0.4761086399999999</v>
      </c>
      <c r="H189" s="31">
        <f>I172</f>
        <v>0</v>
      </c>
      <c r="I189" s="31">
        <f>D189+E189+F189+G189</f>
        <v>14.492424489795917</v>
      </c>
      <c r="J189" s="31">
        <f>L184-273</f>
        <v>1139.9473721185684</v>
      </c>
    </row>
    <row r="190" spans="4:10" ht="15">
      <c r="D190" s="1" t="s">
        <v>1508</v>
      </c>
      <c r="E190" s="1" t="s">
        <v>88</v>
      </c>
      <c r="F190" s="1" t="s">
        <v>306</v>
      </c>
      <c r="G190" s="1" t="s">
        <v>387</v>
      </c>
      <c r="H190" s="3" t="s">
        <v>397</v>
      </c>
      <c r="J190" s="3" t="s">
        <v>833</v>
      </c>
    </row>
    <row r="191" spans="4:10" ht="15.75">
      <c r="D191" s="31">
        <f>(0.34584+0.0008688*(J189+100)^0.82-0.00000109945*(J189+100)^1.64+0.00000000054341*(J189+100)^2.46)*J189</f>
        <v>611.8455324014016</v>
      </c>
      <c r="E191" s="31">
        <f>(0.309701-0.00000555238*(J189+100)^1.1+0.0000000160444*(J189+100)^2.2-0.00000000000568436*(J189+100)^3.3+0.000000000000000856875*(J189+100)^4.4-0.0000000000000000000482474*(J189+100)^5.5)*J189</f>
        <v>383.4528257897743</v>
      </c>
      <c r="F191" s="31">
        <f>(0.356179-0.0000326182*(J189+100)^0.8+0.00000129519*(J189+100)^1.6-0.00000000148934*(J189+100)^2.4-0.000000000000594678*(J189+100)^3.2+0.00000000000000129158*(J189+100)^4)*J189</f>
        <v>479.3752605426418</v>
      </c>
      <c r="G191" s="31">
        <f>(0.317715-0.000574557*(J189+100)^0.7+0.0000164618*(J189+100)^1.4-0.000000119525*(J189+100)^2.1+0.000000000385185*(J189+100)^2.8-0.000000000000467365*(J189+100)^3.5)*J189</f>
        <v>406.81967915780825</v>
      </c>
      <c r="H191" s="31">
        <f>0.10364*J189^1.12+0.26993*IF(J189&lt;=1300,0,(J189-1300)^0.9)</f>
        <v>274.94028737978203</v>
      </c>
      <c r="I191" s="31">
        <f>H189*H191*I189/1000</f>
        <v>0</v>
      </c>
      <c r="J191" s="31">
        <f>SUMPRODUCT(D189:G189,D191:G191)+I191</f>
        <v>6080.7657116814835</v>
      </c>
    </row>
    <row r="192" spans="3:8" ht="15">
      <c r="C192" s="24" t="s">
        <v>834</v>
      </c>
      <c r="D192" s="24"/>
      <c r="E192" s="24"/>
      <c r="F192" s="24"/>
      <c r="G192" s="24"/>
      <c r="H192" s="24"/>
    </row>
    <row r="193" spans="4:12" ht="15">
      <c r="D193" s="3" t="s">
        <v>835</v>
      </c>
      <c r="E193" s="3" t="s">
        <v>836</v>
      </c>
      <c r="F193" s="3" t="s">
        <v>837</v>
      </c>
      <c r="G193" s="3" t="s">
        <v>838</v>
      </c>
      <c r="H193" s="3" t="s">
        <v>819</v>
      </c>
      <c r="I193" s="3" t="s">
        <v>707</v>
      </c>
      <c r="J193" s="3" t="s">
        <v>833</v>
      </c>
      <c r="K193" s="3" t="s">
        <v>818</v>
      </c>
      <c r="L193" s="3" t="s">
        <v>826</v>
      </c>
    </row>
    <row r="194" spans="4:12" ht="15.75">
      <c r="D194" s="4">
        <v>16000</v>
      </c>
      <c r="E194" s="4">
        <v>0.445</v>
      </c>
      <c r="F194" s="4">
        <v>700</v>
      </c>
      <c r="G194" s="4">
        <v>0.6</v>
      </c>
      <c r="H194" s="31">
        <f>D184</f>
        <v>0.55</v>
      </c>
      <c r="I194" s="31">
        <f>K182</f>
        <v>9996.053518367347</v>
      </c>
      <c r="J194" s="31">
        <f>J191</f>
        <v>6080.7657116814835</v>
      </c>
      <c r="K194" s="31">
        <f>L182</f>
        <v>2051.6166113911095</v>
      </c>
      <c r="L194" s="31">
        <f>L184</f>
        <v>1412.9473721185684</v>
      </c>
    </row>
    <row r="195" spans="3:12" ht="15">
      <c r="C195" s="24" t="s">
        <v>839</v>
      </c>
      <c r="D195" s="3" t="s">
        <v>840</v>
      </c>
      <c r="E195" s="3" t="s">
        <v>841</v>
      </c>
      <c r="F195" s="3" t="s">
        <v>842</v>
      </c>
      <c r="K195" s="3" t="s">
        <v>825</v>
      </c>
      <c r="L195" s="24" t="s">
        <v>843</v>
      </c>
    </row>
    <row r="196" spans="4:12" ht="15.75">
      <c r="D196" s="31">
        <f>1-G194/100</f>
        <v>0.994</v>
      </c>
      <c r="E196" s="31">
        <f>(I194-J194)/(K194-L194)</f>
        <v>6.130384189389591</v>
      </c>
      <c r="F196" s="31">
        <f>D196*D194*E196/(0.000000049*H194*F194*K194^3)</f>
        <v>0.5984786053284973</v>
      </c>
      <c r="K196" s="31">
        <f>K186</f>
        <v>0.6142784790750184</v>
      </c>
      <c r="L196" s="33">
        <f>K194*F196^0.6/(E194*K196^0.6+F196^0.6)</f>
        <v>1412.9473721185686</v>
      </c>
    </row>
    <row r="197" spans="5:8" ht="15">
      <c r="E197" s="24" t="s">
        <v>772</v>
      </c>
      <c r="F197" s="24"/>
      <c r="G197" s="24"/>
      <c r="H197" s="24"/>
    </row>
    <row r="198" spans="4:9" ht="15">
      <c r="D198" s="3" t="s">
        <v>844</v>
      </c>
      <c r="E198" s="3" t="s">
        <v>845</v>
      </c>
      <c r="F198" s="3" t="s">
        <v>846</v>
      </c>
      <c r="G198" s="3" t="s">
        <v>847</v>
      </c>
      <c r="H198" s="3" t="s">
        <v>848</v>
      </c>
      <c r="I198" s="3" t="s">
        <v>849</v>
      </c>
    </row>
    <row r="199" spans="4:12" ht="15.75">
      <c r="D199" s="4">
        <v>0.94</v>
      </c>
      <c r="E199" s="4">
        <v>0.02</v>
      </c>
      <c r="F199" s="31">
        <f>D194*(I194*D196-J194)</f>
        <v>61684983.769210555</v>
      </c>
      <c r="G199" s="31">
        <f>D199*F199</f>
        <v>57983884.74305792</v>
      </c>
      <c r="H199" s="31">
        <f>F199-G199</f>
        <v>3701099.026152633</v>
      </c>
      <c r="I199" s="31">
        <f>E199*F199</f>
        <v>1233699.6753842111</v>
      </c>
      <c r="L199" s="3" t="s">
        <v>850</v>
      </c>
    </row>
    <row r="200" spans="5:12" ht="15.75">
      <c r="E200" s="24" t="s">
        <v>851</v>
      </c>
      <c r="F200" s="24"/>
      <c r="G200" s="24"/>
      <c r="H200" s="24"/>
      <c r="I200" s="24"/>
      <c r="L200" s="31">
        <f>K202-30</f>
        <v>304.2330528433562</v>
      </c>
    </row>
    <row r="201" spans="4:12" ht="15">
      <c r="D201" s="3" t="s">
        <v>852</v>
      </c>
      <c r="E201" s="3" t="s">
        <v>847</v>
      </c>
      <c r="F201" s="3" t="s">
        <v>853</v>
      </c>
      <c r="G201" s="3" t="s">
        <v>109</v>
      </c>
      <c r="H201" s="3" t="s">
        <v>854</v>
      </c>
      <c r="I201" s="3" t="s">
        <v>855</v>
      </c>
      <c r="J201" s="3" t="s">
        <v>856</v>
      </c>
      <c r="K201" s="3" t="s">
        <v>857</v>
      </c>
      <c r="L201" s="3" t="s">
        <v>858</v>
      </c>
    </row>
    <row r="202" spans="4:12" ht="15.75">
      <c r="D202" s="4">
        <v>300</v>
      </c>
      <c r="E202" s="31">
        <f>G199</f>
        <v>57983884.74305792</v>
      </c>
      <c r="F202" s="4">
        <v>2.5</v>
      </c>
      <c r="G202" s="4">
        <v>100</v>
      </c>
      <c r="H202" s="4">
        <v>25000</v>
      </c>
      <c r="I202" s="4">
        <v>15000</v>
      </c>
      <c r="J202" s="31">
        <f>675.292-0.019276*G202^1.5-0.0000042803*G202^3</f>
        <v>651.7357000000001</v>
      </c>
      <c r="K202" s="31">
        <f>161.307+6.16086*G202^0.8-0.0626355*G202^1.6+0.000426786*G202^2.4</f>
        <v>334.2330528433562</v>
      </c>
      <c r="L202" s="31">
        <f>(E202+H202*L200-(H202-I202)*J202)/(J202+F202/100*K202-(1+F202/100)*D202)</f>
        <v>167537.64527610393</v>
      </c>
    </row>
    <row r="203" spans="4:11" ht="15">
      <c r="D203" s="1" t="s">
        <v>789</v>
      </c>
      <c r="E203" s="1" t="s">
        <v>859</v>
      </c>
      <c r="G203" s="24"/>
      <c r="H203" s="24"/>
      <c r="I203" s="24"/>
      <c r="J203" s="24"/>
      <c r="K203" s="24"/>
    </row>
    <row r="204" spans="4:12" ht="15.75">
      <c r="D204" s="3" t="s">
        <v>835</v>
      </c>
      <c r="E204" s="3" t="s">
        <v>699</v>
      </c>
      <c r="F204" s="3" t="s">
        <v>855</v>
      </c>
      <c r="G204" s="3" t="s">
        <v>860</v>
      </c>
      <c r="H204" s="7" t="s">
        <v>861</v>
      </c>
      <c r="I204" s="7" t="s">
        <v>862</v>
      </c>
      <c r="J204" s="7" t="s">
        <v>863</v>
      </c>
      <c r="K204" s="1" t="s">
        <v>864</v>
      </c>
      <c r="L204" s="3" t="s">
        <v>865</v>
      </c>
    </row>
    <row r="205" spans="4:12" ht="15.75">
      <c r="D205" s="31">
        <f>D194</f>
        <v>16000</v>
      </c>
      <c r="E205" s="31">
        <f>J168</f>
        <v>14.492424489795917</v>
      </c>
      <c r="F205" s="31">
        <f>I202</f>
        <v>15000</v>
      </c>
      <c r="G205" s="31">
        <f>L202-F205</f>
        <v>152537.64527610393</v>
      </c>
      <c r="H205" s="31">
        <f>((H199+I199)+G205*J202)/G205</f>
        <v>684.0870496789892</v>
      </c>
      <c r="I205" s="31">
        <f>3074.3-3.1077*G202-2.3864*10^7*H205^-1.3+22437.3*G202*H205^-1.3+0.0041697*G202^2+4.8476*10^10*H205^-2.6-177649*G202^2*H205^-2.6</f>
        <v>332.64305630953874</v>
      </c>
      <c r="J205" s="31">
        <f>(J194-I199/D205)/E205</f>
        <v>414.2619122284979</v>
      </c>
      <c r="L205" s="31">
        <f>193.897+1.6984*G202-0.0066353*G202^2+0.0000121825*G202^3</f>
        <v>309.56649999999996</v>
      </c>
    </row>
    <row r="206" ht="15">
      <c r="C206" s="2" t="s">
        <v>866</v>
      </c>
    </row>
    <row r="207" ht="15">
      <c r="D207" s="2" t="s">
        <v>867</v>
      </c>
    </row>
    <row r="208" ht="15">
      <c r="D208" s="2" t="s">
        <v>868</v>
      </c>
    </row>
    <row r="209" spans="7:10" ht="15">
      <c r="G209" s="24" t="s">
        <v>869</v>
      </c>
      <c r="H209" s="24"/>
      <c r="I209" s="24"/>
      <c r="J209" s="24"/>
    </row>
    <row r="211" ht="15">
      <c r="E211" s="1" t="s">
        <v>328</v>
      </c>
    </row>
    <row r="212" spans="2:3" ht="15">
      <c r="B212" s="1" t="s">
        <v>871</v>
      </c>
      <c r="C212" s="1" t="s">
        <v>872</v>
      </c>
    </row>
    <row r="213" spans="1:3" ht="15">
      <c r="A213" s="24" t="s">
        <v>873</v>
      </c>
      <c r="B213" s="1" t="s">
        <v>874</v>
      </c>
      <c r="C213" s="1" t="s">
        <v>37</v>
      </c>
    </row>
    <row r="214" ht="15">
      <c r="D214" s="1" t="s">
        <v>875</v>
      </c>
    </row>
    <row r="215" spans="3:9" ht="15">
      <c r="C215" s="1" t="s">
        <v>876</v>
      </c>
      <c r="D215" s="1" t="s">
        <v>877</v>
      </c>
      <c r="E215" s="1" t="s">
        <v>160</v>
      </c>
      <c r="H215" s="2" t="s">
        <v>878</v>
      </c>
      <c r="I215" s="3" t="s">
        <v>161</v>
      </c>
    </row>
    <row r="216" spans="2:4" ht="15">
      <c r="B216" s="2" t="s">
        <v>879</v>
      </c>
      <c r="C216" s="1" t="s">
        <v>880</v>
      </c>
      <c r="D216" s="1" t="s">
        <v>162</v>
      </c>
    </row>
    <row r="217" spans="3:9" ht="15">
      <c r="C217" s="1" t="s">
        <v>881</v>
      </c>
      <c r="D217" s="1" t="s">
        <v>163</v>
      </c>
      <c r="I217" s="1" t="s">
        <v>405</v>
      </c>
    </row>
    <row r="218" spans="2:9" ht="15">
      <c r="B218" s="1" t="s">
        <v>882</v>
      </c>
      <c r="C218" s="1" t="s">
        <v>883</v>
      </c>
      <c r="D218" s="1" t="s">
        <v>164</v>
      </c>
      <c r="I218" s="1" t="s">
        <v>406</v>
      </c>
    </row>
    <row r="219" spans="2:6" ht="15">
      <c r="B219" s="1" t="s">
        <v>884</v>
      </c>
      <c r="C219" s="1" t="s">
        <v>885</v>
      </c>
      <c r="D219" s="1" t="s">
        <v>165</v>
      </c>
      <c r="F219" s="1" t="s">
        <v>886</v>
      </c>
    </row>
    <row r="220" spans="3:9" ht="15">
      <c r="C220" s="1" t="s">
        <v>887</v>
      </c>
      <c r="D220" s="1" t="s">
        <v>888</v>
      </c>
      <c r="I220" s="1" t="s">
        <v>889</v>
      </c>
    </row>
    <row r="221" spans="4:5" ht="15">
      <c r="D221" s="1" t="s">
        <v>890</v>
      </c>
      <c r="E221" s="1" t="s">
        <v>329</v>
      </c>
    </row>
    <row r="222" spans="4:5" ht="15">
      <c r="D222" s="1" t="s">
        <v>1608</v>
      </c>
      <c r="E222" s="1" t="s">
        <v>330</v>
      </c>
    </row>
    <row r="223" spans="4:5" ht="15">
      <c r="D223" s="1" t="s">
        <v>892</v>
      </c>
      <c r="E223" s="1" t="s">
        <v>893</v>
      </c>
    </row>
    <row r="224" spans="4:9" ht="15">
      <c r="D224" s="1" t="s">
        <v>181</v>
      </c>
      <c r="I224" s="1" t="s">
        <v>894</v>
      </c>
    </row>
    <row r="225" spans="3:9" ht="15">
      <c r="C225" s="1" t="s">
        <v>895</v>
      </c>
      <c r="D225" s="1" t="s">
        <v>896</v>
      </c>
      <c r="I225" s="1" t="s">
        <v>897</v>
      </c>
    </row>
    <row r="226" ht="15">
      <c r="D226" s="1" t="s">
        <v>898</v>
      </c>
    </row>
    <row r="227" spans="3:4" ht="15">
      <c r="C227" s="1" t="s">
        <v>899</v>
      </c>
      <c r="D227" s="1" t="s">
        <v>900</v>
      </c>
    </row>
    <row r="228" ht="15">
      <c r="E228" s="1" t="s">
        <v>901</v>
      </c>
    </row>
    <row r="229" spans="3:4" ht="15">
      <c r="C229" s="1" t="s">
        <v>902</v>
      </c>
      <c r="D229" s="1" t="s">
        <v>903</v>
      </c>
    </row>
    <row r="230" spans="3:7" ht="15">
      <c r="C230" s="1" t="s">
        <v>904</v>
      </c>
      <c r="D230" s="1" t="s">
        <v>905</v>
      </c>
      <c r="G230" s="1" t="s">
        <v>906</v>
      </c>
    </row>
    <row r="231" spans="3:10" ht="15">
      <c r="C231" s="1" t="s">
        <v>907</v>
      </c>
      <c r="D231" s="1" t="s">
        <v>908</v>
      </c>
      <c r="H231" s="1" t="s">
        <v>909</v>
      </c>
      <c r="J231" s="1" t="s">
        <v>910</v>
      </c>
    </row>
    <row r="232" ht="15">
      <c r="E232" s="1" t="s">
        <v>340</v>
      </c>
    </row>
    <row r="233" ht="15">
      <c r="F233" s="2" t="s">
        <v>1609</v>
      </c>
    </row>
    <row r="234" spans="2:12" ht="15">
      <c r="B234" s="1" t="s">
        <v>1610</v>
      </c>
      <c r="C234" s="1" t="s">
        <v>912</v>
      </c>
      <c r="D234" s="1" t="s">
        <v>574</v>
      </c>
      <c r="L234" s="1" t="s">
        <v>914</v>
      </c>
    </row>
    <row r="235" ht="15">
      <c r="D235" s="1" t="s">
        <v>575</v>
      </c>
    </row>
    <row r="236" spans="4:5" ht="15">
      <c r="D236" s="1" t="s">
        <v>576</v>
      </c>
      <c r="E236" s="1" t="s">
        <v>577</v>
      </c>
    </row>
    <row r="237" spans="3:5" ht="15">
      <c r="C237" s="1" t="s">
        <v>916</v>
      </c>
      <c r="D237" s="1" t="s">
        <v>917</v>
      </c>
      <c r="E237" s="1" t="s">
        <v>319</v>
      </c>
    </row>
    <row r="238" spans="2:5" ht="15">
      <c r="B238" s="2" t="s">
        <v>1553</v>
      </c>
      <c r="C238" s="1" t="s">
        <v>578</v>
      </c>
      <c r="D238" s="1" t="s">
        <v>520</v>
      </c>
      <c r="E238" s="1" t="s">
        <v>1589</v>
      </c>
    </row>
    <row r="239" ht="15">
      <c r="D239" s="1" t="s">
        <v>920</v>
      </c>
    </row>
    <row r="240" ht="15">
      <c r="D240" s="1" t="s">
        <v>1560</v>
      </c>
    </row>
    <row r="241" ht="15">
      <c r="D241" s="1" t="s">
        <v>579</v>
      </c>
    </row>
    <row r="242" spans="4:8" ht="15">
      <c r="D242" s="1" t="s">
        <v>1562</v>
      </c>
      <c r="E242" s="1" t="s">
        <v>323</v>
      </c>
      <c r="H242" s="1" t="s">
        <v>1563</v>
      </c>
    </row>
    <row r="243" spans="3:5" ht="15">
      <c r="C243" s="1" t="s">
        <v>1564</v>
      </c>
      <c r="D243" s="1" t="s">
        <v>1565</v>
      </c>
      <c r="E243" s="1" t="s">
        <v>1566</v>
      </c>
    </row>
    <row r="244" ht="15">
      <c r="D244" s="1" t="s">
        <v>1567</v>
      </c>
    </row>
    <row r="245" spans="3:11" ht="15">
      <c r="C245" s="1" t="s">
        <v>1568</v>
      </c>
      <c r="D245" s="1" t="s">
        <v>580</v>
      </c>
      <c r="K245" s="1" t="s">
        <v>581</v>
      </c>
    </row>
    <row r="246" spans="3:8" ht="15">
      <c r="C246" s="1" t="s">
        <v>582</v>
      </c>
      <c r="D246" s="1" t="s">
        <v>583</v>
      </c>
      <c r="H246" s="1" t="s">
        <v>1573</v>
      </c>
    </row>
    <row r="248" spans="5:7" ht="15">
      <c r="E248" s="1" t="s">
        <v>921</v>
      </c>
      <c r="F248" s="24"/>
      <c r="G248" s="24"/>
    </row>
    <row r="249" spans="3:4" ht="15">
      <c r="C249" s="2" t="s">
        <v>38</v>
      </c>
      <c r="D249" s="1" t="s">
        <v>166</v>
      </c>
    </row>
    <row r="250" spans="3:12" ht="15">
      <c r="C250" s="1" t="s">
        <v>922</v>
      </c>
      <c r="D250" s="1" t="s">
        <v>212</v>
      </c>
      <c r="L250" s="1" t="s">
        <v>923</v>
      </c>
    </row>
    <row r="251" spans="3:4" ht="15">
      <c r="C251" s="1" t="s">
        <v>924</v>
      </c>
      <c r="D251" s="1" t="s">
        <v>213</v>
      </c>
    </row>
    <row r="252" ht="15">
      <c r="D252" s="1" t="s">
        <v>169</v>
      </c>
    </row>
    <row r="253" spans="3:12" ht="15">
      <c r="C253" s="1" t="s">
        <v>922</v>
      </c>
      <c r="D253" s="1" t="s">
        <v>221</v>
      </c>
      <c r="L253" s="1" t="s">
        <v>925</v>
      </c>
    </row>
    <row r="254" spans="3:4" ht="15">
      <c r="C254" s="1" t="s">
        <v>924</v>
      </c>
      <c r="D254" s="1" t="s">
        <v>222</v>
      </c>
    </row>
    <row r="255" spans="4:12" ht="15">
      <c r="D255" s="1" t="s">
        <v>926</v>
      </c>
      <c r="L255" s="1" t="s">
        <v>927</v>
      </c>
    </row>
    <row r="256" spans="3:4" ht="15">
      <c r="C256" s="1" t="s">
        <v>924</v>
      </c>
      <c r="D256" s="1" t="s">
        <v>235</v>
      </c>
    </row>
    <row r="257" spans="4:11" ht="15">
      <c r="D257" s="24" t="s">
        <v>928</v>
      </c>
      <c r="E257" s="24"/>
      <c r="F257" s="24"/>
      <c r="K257" s="1" t="s">
        <v>929</v>
      </c>
    </row>
    <row r="258" spans="4:6" ht="15">
      <c r="D258" s="1" t="s">
        <v>930</v>
      </c>
      <c r="F258" s="1" t="s">
        <v>931</v>
      </c>
    </row>
    <row r="259" ht="15">
      <c r="D259" s="1" t="s">
        <v>932</v>
      </c>
    </row>
    <row r="260" ht="15">
      <c r="D260" s="1" t="s">
        <v>933</v>
      </c>
    </row>
    <row r="261" spans="3:4" ht="15">
      <c r="C261" s="2" t="s">
        <v>934</v>
      </c>
      <c r="D261" s="1" t="s">
        <v>935</v>
      </c>
    </row>
    <row r="262" ht="15">
      <c r="D262" s="1" t="s">
        <v>936</v>
      </c>
    </row>
    <row r="263" ht="15">
      <c r="D263" s="1" t="s">
        <v>937</v>
      </c>
    </row>
    <row r="264" ht="15">
      <c r="E264" s="1" t="s">
        <v>938</v>
      </c>
    </row>
    <row r="265" ht="15">
      <c r="G265" s="1" t="s">
        <v>939</v>
      </c>
    </row>
    <row r="266" ht="15">
      <c r="E266" s="1" t="s">
        <v>941</v>
      </c>
    </row>
    <row r="267" spans="3:9" ht="15">
      <c r="C267" s="1" t="s">
        <v>584</v>
      </c>
      <c r="D267" s="1" t="s">
        <v>585</v>
      </c>
      <c r="H267" s="1" t="s">
        <v>586</v>
      </c>
      <c r="I267" s="1" t="s">
        <v>945</v>
      </c>
    </row>
    <row r="268" spans="4:8" ht="15">
      <c r="D268" s="1" t="s">
        <v>587</v>
      </c>
      <c r="H268" s="1" t="s">
        <v>947</v>
      </c>
    </row>
    <row r="269" spans="3:8" ht="15">
      <c r="C269" s="1" t="s">
        <v>948</v>
      </c>
      <c r="H269" s="1" t="s">
        <v>949</v>
      </c>
    </row>
    <row r="270" spans="4:5" ht="15">
      <c r="D270" s="1" t="s">
        <v>950</v>
      </c>
      <c r="E270" s="1" t="s">
        <v>951</v>
      </c>
    </row>
    <row r="271" ht="15">
      <c r="D271" s="1" t="s">
        <v>952</v>
      </c>
    </row>
    <row r="272" spans="3:4" ht="15">
      <c r="C272" s="1" t="s">
        <v>953</v>
      </c>
      <c r="D272" s="1" t="s">
        <v>954</v>
      </c>
    </row>
    <row r="273" ht="15">
      <c r="E273" s="1" t="s">
        <v>959</v>
      </c>
    </row>
    <row r="274" spans="3:4" ht="15">
      <c r="C274" s="2" t="s">
        <v>960</v>
      </c>
      <c r="D274" s="1" t="s">
        <v>961</v>
      </c>
    </row>
    <row r="275" ht="15">
      <c r="E275" s="1" t="s">
        <v>962</v>
      </c>
    </row>
    <row r="276" spans="3:4" ht="15">
      <c r="C276" s="2" t="s">
        <v>963</v>
      </c>
      <c r="D276" s="1" t="s">
        <v>964</v>
      </c>
    </row>
    <row r="277" ht="15">
      <c r="E277" s="1" t="s">
        <v>965</v>
      </c>
    </row>
    <row r="278" ht="15">
      <c r="D278" s="1" t="s">
        <v>792</v>
      </c>
    </row>
    <row r="279" spans="4:5" ht="15">
      <c r="D279" s="1" t="s">
        <v>966</v>
      </c>
      <c r="E279" s="1" t="s">
        <v>21</v>
      </c>
    </row>
    <row r="280" spans="5:6" ht="15">
      <c r="E280" s="1" t="s">
        <v>967</v>
      </c>
      <c r="F280" s="1" t="s">
        <v>968</v>
      </c>
    </row>
    <row r="281" spans="2:4" ht="15">
      <c r="B281" s="1" t="s">
        <v>969</v>
      </c>
      <c r="C281" s="2" t="s">
        <v>970</v>
      </c>
      <c r="D281" s="1" t="s">
        <v>971</v>
      </c>
    </row>
    <row r="282" ht="15">
      <c r="E282" s="1" t="s">
        <v>972</v>
      </c>
    </row>
    <row r="283" ht="15">
      <c r="D283" s="1" t="s">
        <v>973</v>
      </c>
    </row>
    <row r="284" ht="15">
      <c r="E284" s="1" t="s">
        <v>974</v>
      </c>
    </row>
    <row r="285" spans="3:4" ht="15">
      <c r="C285" s="2" t="s">
        <v>518</v>
      </c>
      <c r="D285" s="1" t="s">
        <v>975</v>
      </c>
    </row>
    <row r="286" spans="3:4" ht="15">
      <c r="C286" s="1" t="s">
        <v>976</v>
      </c>
      <c r="D286" s="1" t="s">
        <v>21</v>
      </c>
    </row>
    <row r="287" ht="15">
      <c r="E287" s="1" t="s">
        <v>977</v>
      </c>
    </row>
    <row r="288" spans="3:73" ht="15.75">
      <c r="C288" s="1" t="s">
        <v>588</v>
      </c>
      <c r="D288" s="1" t="s">
        <v>979</v>
      </c>
      <c r="BR288" s="18"/>
      <c r="BS288" s="18"/>
      <c r="BT288" s="18"/>
      <c r="BU288" s="18"/>
    </row>
    <row r="289" spans="3:4" ht="15">
      <c r="C289" s="1" t="s">
        <v>980</v>
      </c>
      <c r="D289" s="1" t="s">
        <v>981</v>
      </c>
    </row>
    <row r="292" ht="15">
      <c r="G292" s="1" t="s">
        <v>1041</v>
      </c>
    </row>
    <row r="293" spans="5:73" ht="15.75">
      <c r="E293" s="1" t="s">
        <v>1042</v>
      </c>
      <c r="F293" s="1" t="s">
        <v>1043</v>
      </c>
      <c r="R293" s="1" t="s">
        <v>1044</v>
      </c>
      <c r="S293" s="12" t="s">
        <v>1045</v>
      </c>
      <c r="T293" s="13"/>
      <c r="U293" s="13"/>
      <c r="V293" s="13"/>
      <c r="W293" s="1" t="s">
        <v>1046</v>
      </c>
      <c r="X293" s="12" t="s">
        <v>1047</v>
      </c>
      <c r="Y293" s="13"/>
      <c r="Z293" s="13"/>
      <c r="AA293" s="13"/>
      <c r="BO293" s="1" t="s">
        <v>1109</v>
      </c>
      <c r="BP293" s="14" t="s">
        <v>1110</v>
      </c>
      <c r="BQ293" s="15"/>
      <c r="BR293" s="15"/>
      <c r="BS293" s="15"/>
      <c r="BT293" s="15"/>
      <c r="BU293" s="15"/>
    </row>
    <row r="294" spans="5:73" ht="15.75">
      <c r="E294" s="24" t="s">
        <v>835</v>
      </c>
      <c r="F294" s="24" t="s">
        <v>984</v>
      </c>
      <c r="G294" s="24" t="s">
        <v>997</v>
      </c>
      <c r="H294" s="24" t="s">
        <v>989</v>
      </c>
      <c r="I294" s="24" t="s">
        <v>990</v>
      </c>
      <c r="J294" s="24" t="s">
        <v>815</v>
      </c>
      <c r="K294" s="24" t="s">
        <v>988</v>
      </c>
      <c r="L294" s="24" t="s">
        <v>995</v>
      </c>
      <c r="M294" s="24" t="s">
        <v>1048</v>
      </c>
      <c r="N294" s="24" t="s">
        <v>102</v>
      </c>
      <c r="O294" s="24" t="s">
        <v>647</v>
      </c>
      <c r="P294" s="24" t="s">
        <v>699</v>
      </c>
      <c r="Q294" s="24" t="s">
        <v>985</v>
      </c>
      <c r="S294" s="24" t="s">
        <v>109</v>
      </c>
      <c r="T294" s="24" t="s">
        <v>840</v>
      </c>
      <c r="U294" s="24" t="s">
        <v>706</v>
      </c>
      <c r="V294" s="24" t="s">
        <v>695</v>
      </c>
      <c r="X294" s="24" t="s">
        <v>1011</v>
      </c>
      <c r="Y294" s="24" t="s">
        <v>1008</v>
      </c>
      <c r="Z294" s="24" t="s">
        <v>992</v>
      </c>
      <c r="AA294" s="24" t="s">
        <v>996</v>
      </c>
      <c r="BP294" s="14" t="s">
        <v>1600</v>
      </c>
      <c r="BQ294" s="14" t="s">
        <v>644</v>
      </c>
      <c r="BR294" s="14" t="s">
        <v>102</v>
      </c>
      <c r="BS294" s="14" t="s">
        <v>1540</v>
      </c>
      <c r="BT294" s="14" t="s">
        <v>646</v>
      </c>
      <c r="BU294" s="14" t="s">
        <v>1597</v>
      </c>
    </row>
    <row r="295" spans="5:73" ht="15.75">
      <c r="E295" s="4">
        <v>16000</v>
      </c>
      <c r="F295" s="4">
        <v>167914.56538212864</v>
      </c>
      <c r="G295" s="4">
        <v>160</v>
      </c>
      <c r="H295" s="4">
        <v>13.54</v>
      </c>
      <c r="I295" s="4">
        <v>0.64</v>
      </c>
      <c r="J295" s="4">
        <v>0.301</v>
      </c>
      <c r="K295" s="4">
        <v>30.4</v>
      </c>
      <c r="L295" s="4">
        <v>0.005</v>
      </c>
      <c r="M295" s="4">
        <v>1</v>
      </c>
      <c r="N295" s="4">
        <v>0.1755125933901146</v>
      </c>
      <c r="O295" s="4">
        <v>0.2500724145825649</v>
      </c>
      <c r="P295" s="4">
        <v>15.171710204081633</v>
      </c>
      <c r="Q295" s="4">
        <v>0.1171</v>
      </c>
      <c r="S295" s="4">
        <v>100</v>
      </c>
      <c r="T295" s="4">
        <v>0.994</v>
      </c>
      <c r="U295" s="4">
        <v>1.2766326530612244</v>
      </c>
      <c r="V295" s="4">
        <v>0.02</v>
      </c>
      <c r="X295" s="4">
        <v>405.7555202519123</v>
      </c>
      <c r="Y295" s="4">
        <v>750.6970644096336</v>
      </c>
      <c r="Z295" s="4">
        <v>1383.2984457605596</v>
      </c>
      <c r="AA295" s="4">
        <v>686.6987667000303</v>
      </c>
      <c r="BP295" s="4">
        <v>16</v>
      </c>
      <c r="BQ295" s="4">
        <v>0.7100393383066067</v>
      </c>
      <c r="BR295" s="31">
        <f>N295</f>
        <v>0.1755125933901146</v>
      </c>
      <c r="BS295" s="4">
        <v>0.07455982119245029</v>
      </c>
      <c r="BT295" s="4">
        <v>0.04078371071400611</v>
      </c>
      <c r="BU295" s="4">
        <v>0</v>
      </c>
    </row>
    <row r="296" spans="28:65" ht="15.75">
      <c r="AB296" s="1" t="s">
        <v>1049</v>
      </c>
      <c r="AC296" s="12" t="s">
        <v>1050</v>
      </c>
      <c r="AD296" s="13"/>
      <c r="AE296" s="13"/>
      <c r="AF296" s="13"/>
      <c r="AI296" s="1" t="s">
        <v>987</v>
      </c>
      <c r="AW296" s="1" t="s">
        <v>1051</v>
      </c>
      <c r="BF296" s="1" t="s">
        <v>1111</v>
      </c>
      <c r="BM296" s="1" t="s">
        <v>1112</v>
      </c>
    </row>
    <row r="297" spans="4:81" ht="15.75">
      <c r="D297" s="5" t="s">
        <v>1052</v>
      </c>
      <c r="E297" s="3" t="s">
        <v>835</v>
      </c>
      <c r="F297" s="3" t="s">
        <v>984</v>
      </c>
      <c r="G297" s="3" t="s">
        <v>997</v>
      </c>
      <c r="H297" s="3" t="s">
        <v>989</v>
      </c>
      <c r="I297" s="3" t="s">
        <v>990</v>
      </c>
      <c r="J297" s="3" t="s">
        <v>815</v>
      </c>
      <c r="K297" s="3" t="s">
        <v>988</v>
      </c>
      <c r="L297" s="3" t="s">
        <v>995</v>
      </c>
      <c r="M297" s="3" t="s">
        <v>1048</v>
      </c>
      <c r="N297" s="3" t="s">
        <v>102</v>
      </c>
      <c r="O297" s="3" t="s">
        <v>647</v>
      </c>
      <c r="P297" s="3" t="s">
        <v>699</v>
      </c>
      <c r="Q297" s="3" t="s">
        <v>985</v>
      </c>
      <c r="S297" s="3" t="s">
        <v>109</v>
      </c>
      <c r="T297" s="3" t="s">
        <v>840</v>
      </c>
      <c r="U297" s="3" t="s">
        <v>706</v>
      </c>
      <c r="V297" s="1" t="s">
        <v>695</v>
      </c>
      <c r="X297" s="3" t="s">
        <v>1011</v>
      </c>
      <c r="Y297" s="3" t="s">
        <v>1008</v>
      </c>
      <c r="Z297" s="3" t="s">
        <v>992</v>
      </c>
      <c r="AA297" s="3" t="s">
        <v>996</v>
      </c>
      <c r="AC297" s="24" t="s">
        <v>1011</v>
      </c>
      <c r="AD297" s="24" t="s">
        <v>1008</v>
      </c>
      <c r="AE297" s="24" t="s">
        <v>992</v>
      </c>
      <c r="AF297" s="24" t="s">
        <v>996</v>
      </c>
      <c r="AH297" s="3" t="s">
        <v>1003</v>
      </c>
      <c r="AI297" s="3" t="s">
        <v>991</v>
      </c>
      <c r="AJ297" s="3" t="s">
        <v>1053</v>
      </c>
      <c r="AK297" s="3" t="s">
        <v>209</v>
      </c>
      <c r="AL297" s="3" t="s">
        <v>206</v>
      </c>
      <c r="AM297" s="3" t="s">
        <v>993</v>
      </c>
      <c r="AN297" s="3" t="s">
        <v>994</v>
      </c>
      <c r="AO297" s="3" t="s">
        <v>820</v>
      </c>
      <c r="AP297" s="3" t="s">
        <v>998</v>
      </c>
      <c r="AQ297" s="3" t="s">
        <v>999</v>
      </c>
      <c r="AR297" s="3" t="s">
        <v>1000</v>
      </c>
      <c r="AS297" s="3" t="s">
        <v>1001</v>
      </c>
      <c r="AT297" s="3" t="s">
        <v>1002</v>
      </c>
      <c r="AU297" s="3" t="s">
        <v>1004</v>
      </c>
      <c r="AW297" s="3" t="s">
        <v>109</v>
      </c>
      <c r="AX297" s="3" t="s">
        <v>840</v>
      </c>
      <c r="AY297" s="3" t="s">
        <v>1006</v>
      </c>
      <c r="AZ297" s="3" t="s">
        <v>1007</v>
      </c>
      <c r="BA297" s="3" t="s">
        <v>1008</v>
      </c>
      <c r="BB297" s="3" t="s">
        <v>865</v>
      </c>
      <c r="BC297" s="3" t="s">
        <v>544</v>
      </c>
      <c r="BD297" s="3" t="s">
        <v>996</v>
      </c>
      <c r="BF297" s="3" t="s">
        <v>706</v>
      </c>
      <c r="BG297" s="1" t="s">
        <v>695</v>
      </c>
      <c r="BH297" s="3" t="s">
        <v>699</v>
      </c>
      <c r="BI297" s="3" t="s">
        <v>1010</v>
      </c>
      <c r="BJ297" s="3" t="s">
        <v>1011</v>
      </c>
      <c r="BK297" s="3" t="s">
        <v>1053</v>
      </c>
      <c r="BL297" s="1" t="s">
        <v>1113</v>
      </c>
      <c r="BM297" s="3" t="s">
        <v>1604</v>
      </c>
      <c r="BN297" s="3" t="s">
        <v>1114</v>
      </c>
      <c r="BO297" s="14" t="s">
        <v>1115</v>
      </c>
      <c r="BP297" s="14" t="s">
        <v>1600</v>
      </c>
      <c r="BQ297" s="14" t="s">
        <v>644</v>
      </c>
      <c r="BR297" s="14" t="s">
        <v>102</v>
      </c>
      <c r="BS297" s="14" t="s">
        <v>1540</v>
      </c>
      <c r="BT297" s="14" t="s">
        <v>646</v>
      </c>
      <c r="BU297" s="14" t="s">
        <v>1597</v>
      </c>
      <c r="BV297" s="14" t="s">
        <v>369</v>
      </c>
      <c r="BW297" s="1" t="s">
        <v>88</v>
      </c>
      <c r="BX297" s="1" t="s">
        <v>306</v>
      </c>
      <c r="BY297" s="1" t="s">
        <v>1508</v>
      </c>
      <c r="BZ297" s="1" t="s">
        <v>387</v>
      </c>
      <c r="CA297" s="3" t="s">
        <v>397</v>
      </c>
      <c r="CB297" s="3" t="s">
        <v>404</v>
      </c>
      <c r="CC297" s="3" t="s">
        <v>544</v>
      </c>
    </row>
    <row r="298" spans="4:81" ht="15.75">
      <c r="D298" s="4">
        <v>1</v>
      </c>
      <c r="E298" s="31">
        <f aca="true" t="shared" si="0" ref="E298:Q298">E295</f>
        <v>16000</v>
      </c>
      <c r="F298" s="31">
        <f t="shared" si="0"/>
        <v>167914.56538212864</v>
      </c>
      <c r="G298" s="31">
        <f t="shared" si="0"/>
        <v>160</v>
      </c>
      <c r="H298" s="31">
        <f t="shared" si="0"/>
        <v>13.54</v>
      </c>
      <c r="I298" s="31">
        <f t="shared" si="0"/>
        <v>0.64</v>
      </c>
      <c r="J298" s="31">
        <f t="shared" si="0"/>
        <v>0.301</v>
      </c>
      <c r="K298" s="31">
        <f t="shared" si="0"/>
        <v>30.4</v>
      </c>
      <c r="L298" s="31">
        <f t="shared" si="0"/>
        <v>0.005</v>
      </c>
      <c r="M298" s="31">
        <f t="shared" si="0"/>
        <v>1</v>
      </c>
      <c r="N298" s="31">
        <f t="shared" si="0"/>
        <v>0.1755125933901146</v>
      </c>
      <c r="O298" s="31">
        <f t="shared" si="0"/>
        <v>0.2500724145825649</v>
      </c>
      <c r="P298" s="31">
        <f t="shared" si="0"/>
        <v>15.171710204081633</v>
      </c>
      <c r="Q298" s="31">
        <f t="shared" si="0"/>
        <v>0.1171</v>
      </c>
      <c r="S298" s="31">
        <f>S295</f>
        <v>100</v>
      </c>
      <c r="T298" s="31">
        <f>T295</f>
        <v>0.994</v>
      </c>
      <c r="U298" s="31">
        <f>U295</f>
        <v>1.2766326530612244</v>
      </c>
      <c r="V298" s="31">
        <f>V295</f>
        <v>0.02</v>
      </c>
      <c r="X298" s="31">
        <f>X295</f>
        <v>405.7555202519123</v>
      </c>
      <c r="Y298" s="31">
        <f>Y295</f>
        <v>750.6970644096336</v>
      </c>
      <c r="Z298" s="31">
        <f>Z295</f>
        <v>1383.2984457605596</v>
      </c>
      <c r="AA298" s="31">
        <f>AA295</f>
        <v>686.6987667000303</v>
      </c>
      <c r="AC298" s="31">
        <f>BJ298</f>
        <v>376.1093954243326</v>
      </c>
      <c r="AD298" s="31">
        <f>BA298</f>
        <v>793.2981306414548</v>
      </c>
      <c r="AE298" s="31">
        <f>BK298+273</f>
        <v>1308.3382120022634</v>
      </c>
      <c r="AF298" s="31">
        <f>BD298</f>
        <v>751.7595600402051</v>
      </c>
      <c r="AH298" s="31">
        <f>Z298-AA298</f>
        <v>696.5996790605293</v>
      </c>
      <c r="AI298" s="31">
        <f>AA298+(L298+1/AN298)*AU298*E298/G298</f>
        <v>936.9631528277625</v>
      </c>
      <c r="AJ298" s="31">
        <f>Z298-273</f>
        <v>1110.2984457605596</v>
      </c>
      <c r="AK298" s="31">
        <f>E298*P298/(3600*K298)*(AJ298+273)/273</f>
        <v>11.239103712719698</v>
      </c>
      <c r="AL298" s="31">
        <f>1.1077-0.002944*AJ298^0.7+0.67936*N298+0.0050854*AJ298^0.7*N298+0.0000089737*AJ298^1.4-2.4659*N298^2-0.000046377*AJ298^1.4*N298^2+23.168*AJ298^-0.1*N298^4</f>
        <v>1.0224372487840918</v>
      </c>
      <c r="AM298" s="31">
        <f>H298*AL298*AK298^I298</f>
        <v>65.12138099696679</v>
      </c>
      <c r="AN298" s="31">
        <f>Q298*F298^0.8</f>
        <v>1772.6687587714298</v>
      </c>
      <c r="AO298" s="31">
        <f>((0.78+1.6*N298)/(M298*O298*J298)^0.5-0.1)*(1-0.37*Z298/1000)</f>
        <v>1.8387614192872646</v>
      </c>
      <c r="AP298" s="31">
        <f>AO298*O298+BN298</f>
        <v>0.45982350796243027</v>
      </c>
      <c r="AQ298" s="31">
        <f>1-EXP(-AP298*M298*J298)</f>
        <v>0.12925566522096962</v>
      </c>
      <c r="AR298" s="31">
        <f>0.000000049*(0.82+1)/2*AQ298*Z298^3*(1-(AI298/Z298)^$L$10)/(1-AI298/Z298)</f>
        <v>35.65093561788588</v>
      </c>
      <c r="AS298" s="31">
        <f>AM298+AR298</f>
        <v>100.77231661485267</v>
      </c>
      <c r="AT298" s="31">
        <f>1/(1/AS298+L298+1/AN298)</f>
        <v>64.56827760309459</v>
      </c>
      <c r="AU298" s="31">
        <f>AT298*G298*AH298/E298</f>
        <v>449.7824145580685</v>
      </c>
      <c r="AW298" s="31">
        <f aca="true" t="shared" si="1" ref="AW298:AX302">S298</f>
        <v>100</v>
      </c>
      <c r="AX298" s="31">
        <f t="shared" si="1"/>
        <v>0.994</v>
      </c>
      <c r="AY298" s="31">
        <f>Y298</f>
        <v>750.6970644096336</v>
      </c>
      <c r="AZ298" s="31">
        <f>AU298*AX298</f>
        <v>447.0837200707201</v>
      </c>
      <c r="BA298" s="31">
        <f>AY298+AZ298*E298/F298</f>
        <v>793.2981306414548</v>
      </c>
      <c r="BB298" s="31">
        <f>193.897+1.6984*AW298-0.0066353*AW298^2+0.0000121825*AW298^3</f>
        <v>309.56649999999996</v>
      </c>
      <c r="BC298" s="31">
        <f>3074.3-3.1077*AW298-2.3864*10^7*BA298^-1.3+22437.3*AW298*BA298^-1.3+0.0041697*AW298^2+4.8476*10^10*BA298^-2.6-177649*AW298^2*BA298^-2.6</f>
        <v>478.75956004020503</v>
      </c>
      <c r="BD298" s="31">
        <f>BC298+273</f>
        <v>751.7595600402051</v>
      </c>
      <c r="BF298" s="31">
        <f aca="true" t="shared" si="2" ref="BF298:BG302">U298</f>
        <v>1.2766326530612244</v>
      </c>
      <c r="BG298" s="31">
        <f t="shared" si="2"/>
        <v>0.02</v>
      </c>
      <c r="BH298" s="31">
        <f>P298</f>
        <v>15.171710204081633</v>
      </c>
      <c r="BI298" s="31">
        <f>X298</f>
        <v>405.7555202519123</v>
      </c>
      <c r="BJ298" s="31">
        <f>BI298-AU298/BH298</f>
        <v>376.1093954243326</v>
      </c>
      <c r="BK298" s="31">
        <f>CC298</f>
        <v>1035.3382120022634</v>
      </c>
      <c r="BM298" s="31">
        <f>7*(BP298*BO298)^-(2/3)</f>
        <v>0.008879887402336344</v>
      </c>
      <c r="BN298" s="31">
        <f>BM298*BU298</f>
        <v>0</v>
      </c>
      <c r="BO298" s="31">
        <f>Z298</f>
        <v>1383.2984457605596</v>
      </c>
      <c r="BP298" s="31">
        <f aca="true" t="shared" si="3" ref="BP298:BU298">BP295</f>
        <v>16</v>
      </c>
      <c r="BQ298" s="31">
        <f t="shared" si="3"/>
        <v>0.7100393383066067</v>
      </c>
      <c r="BR298" s="31">
        <f t="shared" si="3"/>
        <v>0.1755125933901146</v>
      </c>
      <c r="BS298" s="31">
        <f t="shared" si="3"/>
        <v>0.07455982119245029</v>
      </c>
      <c r="BT298" s="31">
        <f t="shared" si="3"/>
        <v>0.04078371071400611</v>
      </c>
      <c r="BU298" s="31">
        <f t="shared" si="3"/>
        <v>0</v>
      </c>
      <c r="BV298" s="31">
        <f>BJ298</f>
        <v>376.1093954243326</v>
      </c>
      <c r="BW298" s="31">
        <f>(0.309701-0.00000555238*(CC298+100)^1.1+0.0000000160444*(CC298+100)^2.2-0.00000000000568436*(CC298+100)^3.3+0.000000000000000856875*(CC298+100)^4.4-0.0000000000000000000482474*(CC298+100)^5.5)*CC298</f>
        <v>345.22558473901097</v>
      </c>
      <c r="BX298" s="31">
        <f>(0.356179-0.0000326182*(CC298+100)^0.8+0.00000129519*(CC298+100)^1.6-0.00000000148934*(CC298+100)^2.4-0.000000000000594678*(CC298+100)^3.2+0.00000000000000129158*(CC298+100)^4)*CC298</f>
        <v>428.4380594203592</v>
      </c>
      <c r="BY298" s="31">
        <f>(0.34584+0.0008688*(CC298+100)^0.82-0.00000109945*(CC298+100)^1.64+0.00000000054341*(CC298+100)^2.46)*CC298</f>
        <v>547.7888355824739</v>
      </c>
      <c r="BZ298" s="31">
        <f>(0.317715-0.000574557*(CC298+100)^0.7+0.0000164618*(CC298+100)^1.4-0.000000119525*(CC298+100)^2.1+0.000000000385185*(CC298+100)^2.8-0.000000000000467365*(CC298+100)^3.5)*CC298</f>
        <v>366.4781075562028</v>
      </c>
      <c r="CA298" s="31">
        <f>0.10364*CC298^1.12+0.26993*IF(CC298&lt;=1300,0,(CC298-1300)^0.9)</f>
        <v>246.84226149048413</v>
      </c>
      <c r="CB298" s="31">
        <f>BQ298*BW298+BR298*BX298+BS298*BY298+BT298*BZ298+0.001*BU298*CA298</f>
        <v>376.1093954243324</v>
      </c>
      <c r="CC298" s="31">
        <f>CC298+2.5*(BV298-CB298)</f>
        <v>1035.3382120022634</v>
      </c>
    </row>
    <row r="299" spans="4:81" ht="15.75">
      <c r="D299" s="4">
        <v>2</v>
      </c>
      <c r="E299" s="31">
        <f aca="true" t="shared" si="4" ref="E299:Q302">E298</f>
        <v>16000</v>
      </c>
      <c r="F299" s="31">
        <f t="shared" si="4"/>
        <v>167914.56538212864</v>
      </c>
      <c r="G299" s="31">
        <f t="shared" si="4"/>
        <v>160</v>
      </c>
      <c r="H299" s="31">
        <f t="shared" si="4"/>
        <v>13.54</v>
      </c>
      <c r="I299" s="31">
        <f t="shared" si="4"/>
        <v>0.64</v>
      </c>
      <c r="J299" s="31">
        <f t="shared" si="4"/>
        <v>0.301</v>
      </c>
      <c r="K299" s="31">
        <f t="shared" si="4"/>
        <v>30.4</v>
      </c>
      <c r="L299" s="31">
        <f t="shared" si="4"/>
        <v>0.005</v>
      </c>
      <c r="M299" s="31">
        <f t="shared" si="4"/>
        <v>1</v>
      </c>
      <c r="N299" s="31">
        <f t="shared" si="4"/>
        <v>0.1755125933901146</v>
      </c>
      <c r="O299" s="31">
        <f t="shared" si="4"/>
        <v>0.2500724145825649</v>
      </c>
      <c r="P299" s="31">
        <f t="shared" si="4"/>
        <v>15.171710204081633</v>
      </c>
      <c r="Q299" s="31">
        <f t="shared" si="4"/>
        <v>0.1171</v>
      </c>
      <c r="S299" s="31">
        <f aca="true" t="shared" si="5" ref="S299:V302">S298</f>
        <v>100</v>
      </c>
      <c r="T299" s="31">
        <f t="shared" si="5"/>
        <v>0.994</v>
      </c>
      <c r="U299" s="31">
        <f t="shared" si="5"/>
        <v>1.2766326530612244</v>
      </c>
      <c r="V299" s="31">
        <f t="shared" si="5"/>
        <v>0.02</v>
      </c>
      <c r="X299" s="31">
        <f aca="true" t="shared" si="6" ref="X299:AA302">AC298</f>
        <v>376.1093954243326</v>
      </c>
      <c r="Y299" s="31">
        <f t="shared" si="6"/>
        <v>793.2981306414548</v>
      </c>
      <c r="Z299" s="31">
        <f t="shared" si="6"/>
        <v>1308.3382120022634</v>
      </c>
      <c r="AA299" s="31">
        <f t="shared" si="6"/>
        <v>751.7595600402051</v>
      </c>
      <c r="AC299" s="31">
        <f>BJ299</f>
        <v>353.04770188559786</v>
      </c>
      <c r="AD299" s="31">
        <f>BA299</f>
        <v>826.4374613153791</v>
      </c>
      <c r="AE299" s="31">
        <f>BK299+273</f>
        <v>1250.9309650232592</v>
      </c>
      <c r="AF299" s="31">
        <f>BD299</f>
        <v>805.9087440165688</v>
      </c>
      <c r="AH299" s="31">
        <f>Z299-AA299</f>
        <v>556.5786519620583</v>
      </c>
      <c r="AI299" s="31">
        <f>AA299+(L299+1/AN299)*AU299*E299/G299</f>
        <v>946.4399983809391</v>
      </c>
      <c r="AJ299" s="31">
        <f>Z299-273</f>
        <v>1035.3382120022634</v>
      </c>
      <c r="AK299" s="31">
        <f>E299*P299/(3600*K299)*(AJ299+273)/273</f>
        <v>10.630062443193806</v>
      </c>
      <c r="AL299" s="31">
        <f>1.1077-0.002944*AJ299^0.7+0.67936*N299+0.0050854*AJ299^0.7*N299+0.0000089737*AJ299^1.4-2.4659*N299^2-0.000046377*AJ299^1.4*N299^2+23.168*AJ299^-0.1*N299^4</f>
        <v>1.0228769955127346</v>
      </c>
      <c r="AM299" s="31">
        <f>H299*AL299*AK299^I299</f>
        <v>62.8673273556148</v>
      </c>
      <c r="AN299" s="31">
        <f>Q299*F299^0.8</f>
        <v>1772.6687587714298</v>
      </c>
      <c r="AO299" s="31">
        <f>((0.78+1.6*N299)/(M299*O299*J299)^0.5-0.1)*(1-0.37*Z299/1000)</f>
        <v>1.943228253534832</v>
      </c>
      <c r="AP299" s="31">
        <f>AO299*O299+BN299</f>
        <v>0.48594778144651607</v>
      </c>
      <c r="AQ299" s="31">
        <f>1-EXP(-AP299*M299*J299)</f>
        <v>0.13607583171224377</v>
      </c>
      <c r="AR299" s="31">
        <f>0.000000049*(0.82+1)/2*AQ299*Z299^3*(1-(AI299/Z299)^$L$10)/(1-AI299/Z299)</f>
        <v>33.81326348895104</v>
      </c>
      <c r="AS299" s="31">
        <f>AM299+AR299</f>
        <v>96.68059084456584</v>
      </c>
      <c r="AT299" s="31">
        <f>1/(1/AS299+L299+1/AN299)</f>
        <v>62.86359168674632</v>
      </c>
      <c r="AU299" s="31">
        <f>AT299*G299*AH299/E299</f>
        <v>349.8853311850252</v>
      </c>
      <c r="AW299" s="31">
        <f t="shared" si="1"/>
        <v>100</v>
      </c>
      <c r="AX299" s="31">
        <f t="shared" si="1"/>
        <v>0.994</v>
      </c>
      <c r="AY299" s="31">
        <f>Y299</f>
        <v>793.2981306414548</v>
      </c>
      <c r="AZ299" s="31">
        <f>AU299*AX299</f>
        <v>347.7860191979151</v>
      </c>
      <c r="BA299" s="31">
        <f>AY299+AZ299*E299/F299</f>
        <v>826.4374613153791</v>
      </c>
      <c r="BB299" s="31">
        <f>193.897+1.6984*AW299-0.0066353*AW299^2+0.0000121825*AW299^3</f>
        <v>309.56649999999996</v>
      </c>
      <c r="BC299" s="31">
        <f>3074.3-3.1077*AW299-2.3864*10^7*BA299^-1.3+22437.3*AW299*BA299^-1.3+0.0041697*AW299^2+4.8476*10^10*BA299^-2.6-177649*AW299^2*BA299^-2.6</f>
        <v>532.9087440165688</v>
      </c>
      <c r="BD299" s="31">
        <f>BC299+273</f>
        <v>805.9087440165688</v>
      </c>
      <c r="BF299" s="31">
        <f t="shared" si="2"/>
        <v>1.2766326530612244</v>
      </c>
      <c r="BG299" s="31">
        <f t="shared" si="2"/>
        <v>0.02</v>
      </c>
      <c r="BH299" s="31">
        <f>P299</f>
        <v>15.171710204081633</v>
      </c>
      <c r="BI299" s="31">
        <f>X299</f>
        <v>376.1093954243326</v>
      </c>
      <c r="BJ299" s="31">
        <f>BI299-AU299/BH299</f>
        <v>353.04770188559786</v>
      </c>
      <c r="BK299" s="31">
        <f>CC299</f>
        <v>977.9309650232592</v>
      </c>
      <c r="BM299" s="31">
        <f>7*(BP299*BO299)^-(2/3)</f>
        <v>0.009215905956887434</v>
      </c>
      <c r="BN299" s="31">
        <f>BM299*BU299</f>
        <v>0</v>
      </c>
      <c r="BO299" s="31">
        <f>Z299</f>
        <v>1308.3382120022634</v>
      </c>
      <c r="BP299" s="31">
        <f aca="true" t="shared" si="7" ref="BP299:BU302">BP298</f>
        <v>16</v>
      </c>
      <c r="BQ299" s="31">
        <f t="shared" si="7"/>
        <v>0.7100393383066067</v>
      </c>
      <c r="BR299" s="31">
        <f t="shared" si="7"/>
        <v>0.1755125933901146</v>
      </c>
      <c r="BS299" s="31">
        <f t="shared" si="7"/>
        <v>0.07455982119245029</v>
      </c>
      <c r="BT299" s="31">
        <f t="shared" si="7"/>
        <v>0.04078371071400611</v>
      </c>
      <c r="BU299" s="31">
        <f t="shared" si="7"/>
        <v>0</v>
      </c>
      <c r="BV299" s="31">
        <f>BJ299</f>
        <v>353.04770188559786</v>
      </c>
      <c r="BW299" s="31">
        <f>(0.309701-0.00000555238*(CC299+100)^1.1+0.0000000160444*(CC299+100)^2.2-0.00000000000568436*(CC299+100)^3.3+0.000000000000000856875*(CC299+100)^4.4-0.0000000000000000000482474*(CC299+100)^5.5)*CC299</f>
        <v>324.4353182931077</v>
      </c>
      <c r="BX299" s="31">
        <f>(0.356179-0.0000326182*(CC299+100)^0.8+0.00000129519*(CC299+100)^1.6-0.00000000148934*(CC299+100)^2.4-0.000000000000594678*(CC299+100)^3.2+0.00000000000000129158*(CC299+100)^4)*CC299</f>
        <v>401.045939415432</v>
      </c>
      <c r="BY299" s="31">
        <f>(0.34584+0.0008688*(CC299+100)^0.82-0.00000109945*(CC299+100)^1.64+0.00000000054341*(CC299+100)^2.46)*CC299</f>
        <v>512.9846265127674</v>
      </c>
      <c r="BZ299" s="31">
        <f>(0.317715-0.000574557*(CC299+100)^0.7+0.0000164618*(CC299+100)^1.4-0.000000119525*(CC299+100)^2.1+0.000000000385185*(CC299+100)^2.8-0.000000000000467365*(CC299+100)^3.5)*CC299</f>
        <v>344.480872212455</v>
      </c>
      <c r="CA299" s="31">
        <f>0.10364*CC299^1.12+0.26993*IF(CC299&lt;=1300,0,(CC299-1300)^0.9)</f>
        <v>231.56482267843506</v>
      </c>
      <c r="CB299" s="31">
        <f>BQ299*BW299+BR299*BX299+BS299*BY299+BT299*BZ299+0.001*BU299*CA299</f>
        <v>353.04770188559786</v>
      </c>
      <c r="CC299" s="31">
        <f>CC299+2.5*(BV299-CB299)</f>
        <v>977.9309650232592</v>
      </c>
    </row>
    <row r="300" spans="4:81" ht="15.75">
      <c r="D300" s="4">
        <v>3</v>
      </c>
      <c r="E300" s="31">
        <f t="shared" si="4"/>
        <v>16000</v>
      </c>
      <c r="F300" s="31">
        <f t="shared" si="4"/>
        <v>167914.56538212864</v>
      </c>
      <c r="G300" s="31">
        <f t="shared" si="4"/>
        <v>160</v>
      </c>
      <c r="H300" s="31">
        <f t="shared" si="4"/>
        <v>13.54</v>
      </c>
      <c r="I300" s="31">
        <f t="shared" si="4"/>
        <v>0.64</v>
      </c>
      <c r="J300" s="31">
        <f t="shared" si="4"/>
        <v>0.301</v>
      </c>
      <c r="K300" s="31">
        <f t="shared" si="4"/>
        <v>30.4</v>
      </c>
      <c r="L300" s="31">
        <f t="shared" si="4"/>
        <v>0.005</v>
      </c>
      <c r="M300" s="31">
        <f t="shared" si="4"/>
        <v>1</v>
      </c>
      <c r="N300" s="31">
        <f t="shared" si="4"/>
        <v>0.1755125933901146</v>
      </c>
      <c r="O300" s="31">
        <f t="shared" si="4"/>
        <v>0.2500724145825649</v>
      </c>
      <c r="P300" s="31">
        <f t="shared" si="4"/>
        <v>15.171710204081633</v>
      </c>
      <c r="Q300" s="31">
        <f t="shared" si="4"/>
        <v>0.1171</v>
      </c>
      <c r="S300" s="31">
        <f t="shared" si="5"/>
        <v>100</v>
      </c>
      <c r="T300" s="31">
        <f t="shared" si="5"/>
        <v>0.994</v>
      </c>
      <c r="U300" s="31">
        <f t="shared" si="5"/>
        <v>1.2766326530612244</v>
      </c>
      <c r="V300" s="31">
        <f t="shared" si="5"/>
        <v>0.02</v>
      </c>
      <c r="X300" s="31">
        <f t="shared" si="6"/>
        <v>353.04770188559786</v>
      </c>
      <c r="Y300" s="31">
        <f t="shared" si="6"/>
        <v>826.4374613153791</v>
      </c>
      <c r="Z300" s="31">
        <f t="shared" si="6"/>
        <v>1250.9309650232592</v>
      </c>
      <c r="AA300" s="31">
        <f t="shared" si="6"/>
        <v>805.9087440165688</v>
      </c>
      <c r="AC300" s="31">
        <f>BJ300</f>
        <v>334.9883269597405</v>
      </c>
      <c r="AD300" s="31">
        <f>BA300</f>
        <v>852.3885301918758</v>
      </c>
      <c r="AE300" s="31">
        <f>BK300+273</f>
        <v>1205.6155545605577</v>
      </c>
      <c r="AF300" s="31">
        <f>BD300</f>
        <v>849.4503388448503</v>
      </c>
      <c r="AH300" s="31">
        <f>Z300-AA300</f>
        <v>445.0222210066904</v>
      </c>
      <c r="AI300" s="31">
        <f>AA300+(L300+1/AN300)*AU300*E300/G300</f>
        <v>958.3609921925486</v>
      </c>
      <c r="AJ300" s="31">
        <f>Z300-273</f>
        <v>977.9309650232592</v>
      </c>
      <c r="AK300" s="31">
        <f>E300*P300/(3600*K300)*(AJ300+273)/273</f>
        <v>10.163636702142679</v>
      </c>
      <c r="AL300" s="31">
        <f>1.1077-0.002944*AJ300^0.7+0.67936*N300+0.0050854*AJ300^0.7*N300+0.0000089737*AJ300^1.4-2.4659*N300^2-0.000046377*AJ300^1.4*N300^2+23.168*AJ300^-0.1*N300^4</f>
        <v>1.0236621587624146</v>
      </c>
      <c r="AM300" s="31">
        <f>H300*AL300*AK300^I300</f>
        <v>61.134555462816714</v>
      </c>
      <c r="AN300" s="31">
        <f>Q300*F300^0.8</f>
        <v>1772.6687587714298</v>
      </c>
      <c r="AO300" s="31">
        <f>((0.78+1.6*N300)/(M300*O300*J300)^0.5-0.1)*(1-0.37*Z300/1000)</f>
        <v>2.0232327179566236</v>
      </c>
      <c r="AP300" s="31">
        <f>AO300*O300+BN300</f>
        <v>0.5059546910418584</v>
      </c>
      <c r="AQ300" s="31">
        <f>1-EXP(-AP300*M300*J300)</f>
        <v>0.14126281808603572</v>
      </c>
      <c r="AR300" s="31">
        <f>0.000000049*(0.82+1)/2*AQ300*Z300^3*(1-(AI300/Z300)^$L$10)/(1-AI300/Z300)</f>
        <v>32.51538413659172</v>
      </c>
      <c r="AS300" s="31">
        <f>AM300+AR300</f>
        <v>93.64993959940844</v>
      </c>
      <c r="AT300" s="31">
        <f>1/(1/AS300+L300+1/AN300)</f>
        <v>61.56807231381982</v>
      </c>
      <c r="AU300" s="31">
        <f>AT300*G300*AH300/E300</f>
        <v>273.9916028419662</v>
      </c>
      <c r="AW300" s="31">
        <f t="shared" si="1"/>
        <v>100</v>
      </c>
      <c r="AX300" s="31">
        <f t="shared" si="1"/>
        <v>0.994</v>
      </c>
      <c r="AY300" s="31">
        <f>Y300</f>
        <v>826.4374613153791</v>
      </c>
      <c r="AZ300" s="31">
        <f>AU300*AX300</f>
        <v>272.3476532249144</v>
      </c>
      <c r="BA300" s="31">
        <f>AY300+AZ300*E300/F300</f>
        <v>852.3885301918758</v>
      </c>
      <c r="BB300" s="31">
        <f>193.897+1.6984*AW300-0.0066353*AW300^2+0.0000121825*AW300^3</f>
        <v>309.56649999999996</v>
      </c>
      <c r="BC300" s="31">
        <f>3074.3-3.1077*AW300-2.3864*10^7*BA300^-1.3+22437.3*AW300*BA300^-1.3+0.0041697*AW300^2+4.8476*10^10*BA300^-2.6-177649*AW300^2*BA300^-2.6</f>
        <v>576.4503388448503</v>
      </c>
      <c r="BD300" s="31">
        <f>BC300+273</f>
        <v>849.4503388448503</v>
      </c>
      <c r="BF300" s="31">
        <f t="shared" si="2"/>
        <v>1.2766326530612244</v>
      </c>
      <c r="BG300" s="31">
        <f t="shared" si="2"/>
        <v>0.02</v>
      </c>
      <c r="BH300" s="31">
        <f>P300</f>
        <v>15.171710204081633</v>
      </c>
      <c r="BI300" s="31">
        <f>X300</f>
        <v>353.04770188559786</v>
      </c>
      <c r="BJ300" s="31">
        <f>BI300-AU300/BH300</f>
        <v>334.9883269597405</v>
      </c>
      <c r="BK300" s="31">
        <f>CC300</f>
        <v>932.6155545605577</v>
      </c>
      <c r="BM300" s="31">
        <f>7*(BP300*BO300)^-(2/3)</f>
        <v>0.009495747465122476</v>
      </c>
      <c r="BN300" s="31">
        <f>BM300*BU300</f>
        <v>0</v>
      </c>
      <c r="BO300" s="31">
        <f>Z300</f>
        <v>1250.9309650232592</v>
      </c>
      <c r="BP300" s="31">
        <f t="shared" si="7"/>
        <v>16</v>
      </c>
      <c r="BQ300" s="31">
        <f t="shared" si="7"/>
        <v>0.7100393383066067</v>
      </c>
      <c r="BR300" s="31">
        <f t="shared" si="7"/>
        <v>0.1755125933901146</v>
      </c>
      <c r="BS300" s="31">
        <f t="shared" si="7"/>
        <v>0.07455982119245029</v>
      </c>
      <c r="BT300" s="31">
        <f t="shared" si="7"/>
        <v>0.04078371071400611</v>
      </c>
      <c r="BU300" s="31">
        <f t="shared" si="7"/>
        <v>0</v>
      </c>
      <c r="BV300" s="31">
        <f>BJ300</f>
        <v>334.9883269597405</v>
      </c>
      <c r="BW300" s="31">
        <f>(0.309701-0.00000555238*(CC300+100)^1.1+0.0000000160444*(CC300+100)^2.2-0.00000000000568436*(CC300+100)^3.3+0.000000000000000856875*(CC300+100)^4.4-0.0000000000000000000482474*(CC300+100)^5.5)*CC300</f>
        <v>308.1309656166073</v>
      </c>
      <c r="BX300" s="31">
        <f>(0.356179-0.0000326182*(CC300+100)^0.8+0.00000129519*(CC300+100)^1.6-0.00000000148934*(CC300+100)^2.4-0.000000000000594678*(CC300+100)^3.2+0.00000000000000129158*(CC300+100)^4)*CC300</f>
        <v>379.7145778296773</v>
      </c>
      <c r="BY300" s="31">
        <f>(0.34584+0.0008688*(CC300+100)^0.82-0.00000109945*(CC300+100)^1.64+0.00000000054341*(CC300+100)^2.46)*CC300</f>
        <v>485.70832209541845</v>
      </c>
      <c r="BZ300" s="31">
        <f>(0.317715-0.000574557*(CC300+100)^0.7+0.0000164618*(CC300+100)^1.4-0.000000119525*(CC300+100)^2.1+0.000000000385185*(CC300+100)^2.8-0.000000000000467365*(CC300+100)^3.5)*CC300</f>
        <v>327.1944567547061</v>
      </c>
      <c r="CA300" s="31">
        <f>0.10364*CC300^1.12+0.26993*IF(CC300&lt;=1300,0,(CC300-1300)^0.9)</f>
        <v>219.5808072650588</v>
      </c>
      <c r="CB300" s="31">
        <f>BQ300*BW300+BR300*BX300+BS300*BY300+BT300*BZ300+0.001*BU300*CA300</f>
        <v>334.98832695974056</v>
      </c>
      <c r="CC300" s="31">
        <f>CC300+2.5*(BV300-CB300)</f>
        <v>932.6155545605577</v>
      </c>
    </row>
    <row r="301" spans="4:81" ht="15.75">
      <c r="D301" s="4">
        <v>4</v>
      </c>
      <c r="E301" s="31">
        <f t="shared" si="4"/>
        <v>16000</v>
      </c>
      <c r="F301" s="31">
        <f t="shared" si="4"/>
        <v>167914.56538212864</v>
      </c>
      <c r="G301" s="31">
        <f t="shared" si="4"/>
        <v>160</v>
      </c>
      <c r="H301" s="31">
        <f t="shared" si="4"/>
        <v>13.54</v>
      </c>
      <c r="I301" s="31">
        <f t="shared" si="4"/>
        <v>0.64</v>
      </c>
      <c r="J301" s="31">
        <f t="shared" si="4"/>
        <v>0.301</v>
      </c>
      <c r="K301" s="31">
        <f t="shared" si="4"/>
        <v>30.4</v>
      </c>
      <c r="L301" s="31">
        <f t="shared" si="4"/>
        <v>0.005</v>
      </c>
      <c r="M301" s="31">
        <f t="shared" si="4"/>
        <v>1</v>
      </c>
      <c r="N301" s="31">
        <f t="shared" si="4"/>
        <v>0.1755125933901146</v>
      </c>
      <c r="O301" s="31">
        <f t="shared" si="4"/>
        <v>0.2500724145825649</v>
      </c>
      <c r="P301" s="31">
        <f t="shared" si="4"/>
        <v>15.171710204081633</v>
      </c>
      <c r="Q301" s="31">
        <f t="shared" si="4"/>
        <v>0.1171</v>
      </c>
      <c r="S301" s="31">
        <f t="shared" si="5"/>
        <v>100</v>
      </c>
      <c r="T301" s="31">
        <f t="shared" si="5"/>
        <v>0.994</v>
      </c>
      <c r="U301" s="31">
        <f t="shared" si="5"/>
        <v>1.2766326530612244</v>
      </c>
      <c r="V301" s="31">
        <f t="shared" si="5"/>
        <v>0.02</v>
      </c>
      <c r="X301" s="31">
        <f t="shared" si="6"/>
        <v>334.9883269597405</v>
      </c>
      <c r="Y301" s="31">
        <f t="shared" si="6"/>
        <v>852.3885301918758</v>
      </c>
      <c r="Z301" s="31">
        <f t="shared" si="6"/>
        <v>1205.6155545605577</v>
      </c>
      <c r="AA301" s="31">
        <f t="shared" si="6"/>
        <v>849.4503388448503</v>
      </c>
      <c r="AC301" s="31">
        <f>BJ301</f>
        <v>320.77672916028894</v>
      </c>
      <c r="AD301" s="31">
        <f>BA301</f>
        <v>872.8103972195426</v>
      </c>
      <c r="AE301" s="31">
        <f>BK301+273</f>
        <v>1169.7139131966046</v>
      </c>
      <c r="AF301" s="31">
        <f>BD301</f>
        <v>884.0529964886845</v>
      </c>
      <c r="AH301" s="31">
        <f>Z301-AA301</f>
        <v>356.1652157157074</v>
      </c>
      <c r="AI301" s="31">
        <f>AA301+(L301+1/AN301)*AU301*E301/G301</f>
        <v>969.4207167562743</v>
      </c>
      <c r="AJ301" s="31">
        <f>Z301-273</f>
        <v>932.6155545605577</v>
      </c>
      <c r="AK301" s="31">
        <f>E301*P301/(3600*K301)*(AJ301+273)/273</f>
        <v>9.79545541809971</v>
      </c>
      <c r="AL301" s="31">
        <f>1.1077-0.002944*AJ301^0.7+0.67936*N301+0.0050854*AJ301^0.7*N301+0.0000089737*AJ301^1.4-2.4659*N301^2-0.000046377*AJ301^1.4*N301^2+23.168*AJ301^-0.1*N301^4</f>
        <v>1.0245718230703116</v>
      </c>
      <c r="AM301" s="31">
        <f>H301*AL301*AK301^I301</f>
        <v>59.76085979477341</v>
      </c>
      <c r="AN301" s="31">
        <f>Q301*F301^0.8</f>
        <v>1772.6687587714298</v>
      </c>
      <c r="AO301" s="31">
        <f>((0.78+1.6*N301)/(M301*O301*J301)^0.5-0.1)*(1-0.37*Z301/1000)</f>
        <v>2.0863856356613875</v>
      </c>
      <c r="AP301" s="31">
        <f>AO301*O301+BN301</f>
        <v>0.5217474936602227</v>
      </c>
      <c r="AQ301" s="31">
        <f>1-EXP(-AP301*M301*J301)</f>
        <v>0.145335252897162</v>
      </c>
      <c r="AR301" s="31">
        <f>0.000000049*(0.82+1)/2*AQ301*Z301^3*(1-(AI301/Z301)^$L$10)/(1-AI301/Z301)</f>
        <v>31.525742975481347</v>
      </c>
      <c r="AS301" s="31">
        <f>AM301+AR301</f>
        <v>91.28660277025476</v>
      </c>
      <c r="AT301" s="31">
        <f>1/(1/AS301+L301+1/AN301)</f>
        <v>60.53770380607521</v>
      </c>
      <c r="AU301" s="31">
        <f>AT301*G301*AH301/E301</f>
        <v>215.61424335024378</v>
      </c>
      <c r="AW301" s="31">
        <f t="shared" si="1"/>
        <v>100</v>
      </c>
      <c r="AX301" s="31">
        <f t="shared" si="1"/>
        <v>0.994</v>
      </c>
      <c r="AY301" s="31">
        <f>Y301</f>
        <v>852.3885301918758</v>
      </c>
      <c r="AZ301" s="31">
        <f>AU301*AX301</f>
        <v>214.3205578901423</v>
      </c>
      <c r="BA301" s="31">
        <f>AY301+AZ301*E301/F301</f>
        <v>872.8103972195426</v>
      </c>
      <c r="BB301" s="31">
        <f>193.897+1.6984*AW301-0.0066353*AW301^2+0.0000121825*AW301^3</f>
        <v>309.56649999999996</v>
      </c>
      <c r="BC301" s="31">
        <f>3074.3-3.1077*AW301-2.3864*10^7*BA301^-1.3+22437.3*AW301*BA301^-1.3+0.0041697*AW301^2+4.8476*10^10*BA301^-2.6-177649*AW301^2*BA301^-2.6</f>
        <v>611.0529964886845</v>
      </c>
      <c r="BD301" s="31">
        <f>BC301+273</f>
        <v>884.0529964886845</v>
      </c>
      <c r="BF301" s="31">
        <f t="shared" si="2"/>
        <v>1.2766326530612244</v>
      </c>
      <c r="BG301" s="31">
        <f t="shared" si="2"/>
        <v>0.02</v>
      </c>
      <c r="BH301" s="31">
        <f>P301</f>
        <v>15.171710204081633</v>
      </c>
      <c r="BI301" s="31">
        <f>X301</f>
        <v>334.9883269597405</v>
      </c>
      <c r="BJ301" s="31">
        <f>BI301-AU301/BH301</f>
        <v>320.77672916028894</v>
      </c>
      <c r="BK301" s="31">
        <f>CC301</f>
        <v>896.7139131966045</v>
      </c>
      <c r="BM301" s="31">
        <f>7*(BP301*BO301)^-(2/3)</f>
        <v>0.009732225352133647</v>
      </c>
      <c r="BN301" s="31">
        <f>BM301*BU301</f>
        <v>0</v>
      </c>
      <c r="BO301" s="31">
        <f>Z301</f>
        <v>1205.6155545605577</v>
      </c>
      <c r="BP301" s="31">
        <f t="shared" si="7"/>
        <v>16</v>
      </c>
      <c r="BQ301" s="31">
        <f t="shared" si="7"/>
        <v>0.7100393383066067</v>
      </c>
      <c r="BR301" s="31">
        <f t="shared" si="7"/>
        <v>0.1755125933901146</v>
      </c>
      <c r="BS301" s="31">
        <f t="shared" si="7"/>
        <v>0.07455982119245029</v>
      </c>
      <c r="BT301" s="31">
        <f t="shared" si="7"/>
        <v>0.04078371071400611</v>
      </c>
      <c r="BU301" s="31">
        <f t="shared" si="7"/>
        <v>0</v>
      </c>
      <c r="BV301" s="31">
        <f>BJ301</f>
        <v>320.77672916028894</v>
      </c>
      <c r="BW301" s="31">
        <f>(0.309701-0.00000555238*(CC301+100)^1.1+0.0000000160444*(CC301+100)^2.2-0.00000000000568436*(CC301+100)^3.3+0.000000000000000856875*(CC301+100)^4.4-0.0000000000000000000482474*(CC301+100)^5.5)*CC301</f>
        <v>295.285999053089</v>
      </c>
      <c r="BX301" s="31">
        <f>(0.356179-0.0000326182*(CC301+100)^0.8+0.00000129519*(CC301+100)^1.6-0.00000000148934*(CC301+100)^2.4-0.000000000000594678*(CC301+100)^3.2+0.00000000000000129158*(CC301+100)^4)*CC301</f>
        <v>363.0007893540388</v>
      </c>
      <c r="BY301" s="31">
        <f>(0.34584+0.0008688*(CC301+100)^0.82-0.00000109945*(CC301+100)^1.64+0.00000000054341*(CC301+100)^2.46)*CC301</f>
        <v>464.2321174116675</v>
      </c>
      <c r="BZ301" s="31">
        <f>(0.317715-0.000574557*(CC301+100)^0.7+0.0000164618*(CC301+100)^1.4-0.000000119525*(CC301+100)^2.1+0.000000000385185*(CC301+100)^2.8-0.000000000000467365*(CC301+100)^3.5)*CC301</f>
        <v>313.55116906623584</v>
      </c>
      <c r="CA301" s="31">
        <f>0.10364*CC301^1.12+0.26993*IF(CC301&lt;=1300,0,(CC301-1300)^0.9)</f>
        <v>210.13567119180195</v>
      </c>
      <c r="CB301" s="31">
        <f>BQ301*BW301+BR301*BX301+BS301*BY301+BT301*BZ301+0.001*BU301*CA301</f>
        <v>320.77672916028894</v>
      </c>
      <c r="CC301" s="31">
        <f>CC301+2.5*(BV301-CB301)</f>
        <v>896.7139131966045</v>
      </c>
    </row>
    <row r="302" spans="4:81" ht="15.75">
      <c r="D302" s="4">
        <v>5</v>
      </c>
      <c r="E302" s="31">
        <f t="shared" si="4"/>
        <v>16000</v>
      </c>
      <c r="F302" s="31">
        <f t="shared" si="4"/>
        <v>167914.56538212864</v>
      </c>
      <c r="G302" s="31">
        <f t="shared" si="4"/>
        <v>160</v>
      </c>
      <c r="H302" s="31">
        <f t="shared" si="4"/>
        <v>13.54</v>
      </c>
      <c r="I302" s="31">
        <f t="shared" si="4"/>
        <v>0.64</v>
      </c>
      <c r="J302" s="31">
        <f t="shared" si="4"/>
        <v>0.301</v>
      </c>
      <c r="K302" s="31">
        <f t="shared" si="4"/>
        <v>30.4</v>
      </c>
      <c r="L302" s="31">
        <f t="shared" si="4"/>
        <v>0.005</v>
      </c>
      <c r="M302" s="31">
        <f t="shared" si="4"/>
        <v>1</v>
      </c>
      <c r="N302" s="31">
        <f t="shared" si="4"/>
        <v>0.1755125933901146</v>
      </c>
      <c r="O302" s="31">
        <f t="shared" si="4"/>
        <v>0.2500724145825649</v>
      </c>
      <c r="P302" s="31">
        <f t="shared" si="4"/>
        <v>15.171710204081633</v>
      </c>
      <c r="Q302" s="31">
        <f t="shared" si="4"/>
        <v>0.1171</v>
      </c>
      <c r="S302" s="31">
        <f t="shared" si="5"/>
        <v>100</v>
      </c>
      <c r="T302" s="31">
        <f t="shared" si="5"/>
        <v>0.994</v>
      </c>
      <c r="U302" s="31">
        <f t="shared" si="5"/>
        <v>1.2766326530612244</v>
      </c>
      <c r="V302" s="31">
        <f t="shared" si="5"/>
        <v>0.02</v>
      </c>
      <c r="X302" s="31">
        <f t="shared" si="6"/>
        <v>320.77672916028894</v>
      </c>
      <c r="Y302" s="31">
        <f t="shared" si="6"/>
        <v>872.8103972195426</v>
      </c>
      <c r="Z302" s="31">
        <f t="shared" si="6"/>
        <v>1169.7139131966046</v>
      </c>
      <c r="AA302" s="31">
        <f t="shared" si="6"/>
        <v>884.0529964886845</v>
      </c>
      <c r="AC302" s="31">
        <f>BJ302</f>
        <v>309.5334287160049</v>
      </c>
      <c r="AD302" s="31">
        <f>BA302</f>
        <v>888.9668625139752</v>
      </c>
      <c r="AE302" s="31">
        <f>BK302+273</f>
        <v>1141.1505924728958</v>
      </c>
      <c r="AF302" s="31">
        <f>BD302</f>
        <v>911.4985450593675</v>
      </c>
      <c r="AH302" s="31">
        <f>Z302-AA302</f>
        <v>285.66091670792014</v>
      </c>
      <c r="AI302" s="31">
        <f>AA302+(L302+1/AN302)*AU302*E302/G302</f>
        <v>978.9658291136332</v>
      </c>
      <c r="AJ302" s="31">
        <f>Z302-273</f>
        <v>896.7139131966046</v>
      </c>
      <c r="AK302" s="31">
        <f>E302*P302/(3600*K302)*(AJ302+273)/273</f>
        <v>9.503759673061491</v>
      </c>
      <c r="AL302" s="31">
        <f>1.1077-0.002944*AJ302^0.7+0.67936*N302+0.0050854*AJ302^0.7*N302+0.0000089737*AJ302^1.4-2.4659*N302^2-0.000046377*AJ302^1.4*N302^2+23.168*AJ302^-0.1*N302^4</f>
        <v>1.0254824013423274</v>
      </c>
      <c r="AM302" s="31">
        <f>H302*AL302*AK302^I302</f>
        <v>58.66782139563278</v>
      </c>
      <c r="AN302" s="31">
        <f>Q302*F302^0.8</f>
        <v>1772.6687587714298</v>
      </c>
      <c r="AO302" s="31">
        <f>((0.78+1.6*N302)/(M302*O302*J302)^0.5-0.1)*(1-0.37*Z302/1000)</f>
        <v>2.1364192418755437</v>
      </c>
      <c r="AP302" s="31">
        <f>AO302*O302+BN302</f>
        <v>0.53425951837647</v>
      </c>
      <c r="AQ302" s="31">
        <f>1-EXP(-AP302*M302*J302)</f>
        <v>0.14854796888215896</v>
      </c>
      <c r="AR302" s="31">
        <f>0.000000049*(0.82+1)/2*AQ302*Z302^3*(1-(AI302/Z302)^$L$10)/(1-AI302/Z302)</f>
        <v>30.759077384593553</v>
      </c>
      <c r="AS302" s="31">
        <f>AM302+AR302</f>
        <v>89.42689878022634</v>
      </c>
      <c r="AT302" s="31">
        <f>1/(1/AS302+L302+1/AN302)</f>
        <v>59.71418773136299</v>
      </c>
      <c r="AU302" s="31">
        <f>AT302*G302*AH302/E302</f>
        <v>170.5800960780999</v>
      </c>
      <c r="AW302" s="31">
        <f t="shared" si="1"/>
        <v>100</v>
      </c>
      <c r="AX302" s="31">
        <f t="shared" si="1"/>
        <v>0.994</v>
      </c>
      <c r="AY302" s="31">
        <f>Y302</f>
        <v>872.8103972195426</v>
      </c>
      <c r="AZ302" s="31">
        <f>AU302*AX302</f>
        <v>169.55661550163128</v>
      </c>
      <c r="BA302" s="31">
        <f>AY302+AZ302*E302/F302</f>
        <v>888.9668625139752</v>
      </c>
      <c r="BB302" s="31">
        <f>193.897+1.6984*AW302-0.0066353*AW302^2+0.0000121825*AW302^3</f>
        <v>309.56649999999996</v>
      </c>
      <c r="BC302" s="31">
        <f>3074.3-3.1077*AW302-2.3864*10^7*BA302^-1.3+22437.3*AW302*BA302^-1.3+0.0041697*AW302^2+4.8476*10^10*BA302^-2.6-177649*AW302^2*BA302^-2.6</f>
        <v>638.4985450593675</v>
      </c>
      <c r="BD302" s="31">
        <f>BC302+273</f>
        <v>911.4985450593675</v>
      </c>
      <c r="BF302" s="31">
        <f t="shared" si="2"/>
        <v>1.2766326530612244</v>
      </c>
      <c r="BG302" s="31">
        <f t="shared" si="2"/>
        <v>0.02</v>
      </c>
      <c r="BH302" s="31">
        <f>P302</f>
        <v>15.171710204081633</v>
      </c>
      <c r="BI302" s="31">
        <f>X302</f>
        <v>320.77672916028894</v>
      </c>
      <c r="BJ302" s="31">
        <f>BI302-AU302/BH302</f>
        <v>309.5334287160049</v>
      </c>
      <c r="BK302" s="31">
        <f>CC302</f>
        <v>868.1505924728959</v>
      </c>
      <c r="BM302" s="31">
        <f>7*(BP302*BO302)^-(2/3)</f>
        <v>0.00993035896588535</v>
      </c>
      <c r="BN302" s="31">
        <f>BM302*BU302</f>
        <v>0</v>
      </c>
      <c r="BO302" s="31">
        <f>Z302</f>
        <v>1169.7139131966046</v>
      </c>
      <c r="BP302" s="31">
        <f t="shared" si="7"/>
        <v>16</v>
      </c>
      <c r="BQ302" s="31">
        <f t="shared" si="7"/>
        <v>0.7100393383066067</v>
      </c>
      <c r="BR302" s="31">
        <f t="shared" si="7"/>
        <v>0.1755125933901146</v>
      </c>
      <c r="BS302" s="31">
        <f t="shared" si="7"/>
        <v>0.07455982119245029</v>
      </c>
      <c r="BT302" s="31">
        <f t="shared" si="7"/>
        <v>0.04078371071400611</v>
      </c>
      <c r="BU302" s="31">
        <f t="shared" si="7"/>
        <v>0</v>
      </c>
      <c r="BV302" s="31">
        <f>BJ302</f>
        <v>309.5334287160049</v>
      </c>
      <c r="BW302" s="31">
        <f>(0.309701-0.00000555238*(CC302+100)^1.1+0.0000000160444*(CC302+100)^2.2-0.00000000000568436*(CC302+100)^3.3+0.000000000000000856875*(CC302+100)^4.4-0.0000000000000000000482474*(CC302+100)^5.5)*CC302</f>
        <v>285.11493259006625</v>
      </c>
      <c r="BX302" s="31">
        <f>(0.356179-0.0000326182*(CC302+100)^0.8+0.00000129519*(CC302+100)^1.6-0.00000000148934*(CC302+100)^2.4-0.000000000000594678*(CC302+100)^3.2+0.00000000000000129158*(CC302+100)^4)*CC302</f>
        <v>349.8226883448089</v>
      </c>
      <c r="BY302" s="31">
        <f>(0.34584+0.0008688*(CC302+100)^0.82-0.00000109945*(CC302+100)^1.64+0.00000000054341*(CC302+100)^2.46)*CC302</f>
        <v>447.2356505134652</v>
      </c>
      <c r="BZ302" s="31">
        <f>(0.317715-0.000574557*(CC302+100)^0.7+0.0000164618*(CC302+100)^1.4-0.000000119525*(CC302+100)^2.1+0.000000000385185*(CC302+100)^2.8-0.000000000000467365*(CC302+100)^3.5)*CC302</f>
        <v>302.73148350154884</v>
      </c>
      <c r="CA302" s="31">
        <f>0.10364*CC302^1.12+0.26993*IF(CC302&lt;=1300,0,(CC302-1300)^0.9)</f>
        <v>202.65339240382866</v>
      </c>
      <c r="CB302" s="31">
        <f>BQ302*BW302+BR302*BX302+BS302*BY302+BT302*BZ302+0.001*BU302*CA302</f>
        <v>309.5334287160049</v>
      </c>
      <c r="CC302" s="31">
        <f>CC302+2.5*(BV302-CB302)</f>
        <v>868.1505924728959</v>
      </c>
    </row>
    <row r="304" spans="69:72" ht="15.75">
      <c r="BQ304" s="18"/>
      <c r="BR304" s="18"/>
      <c r="BS304" s="18"/>
      <c r="BT304" s="18"/>
    </row>
    <row r="305" ht="15">
      <c r="G305" s="1" t="s">
        <v>1054</v>
      </c>
    </row>
    <row r="306" spans="5:73" ht="15.75">
      <c r="E306" s="1" t="s">
        <v>1042</v>
      </c>
      <c r="F306" s="1" t="s">
        <v>1043</v>
      </c>
      <c r="R306" s="1" t="s">
        <v>1044</v>
      </c>
      <c r="S306" s="12" t="s">
        <v>1045</v>
      </c>
      <c r="T306" s="13"/>
      <c r="U306" s="13"/>
      <c r="V306" s="13"/>
      <c r="W306" s="1" t="s">
        <v>1046</v>
      </c>
      <c r="X306" s="12" t="s">
        <v>1055</v>
      </c>
      <c r="Y306" s="13"/>
      <c r="Z306" s="13"/>
      <c r="AA306" s="13"/>
      <c r="BO306" s="1" t="s">
        <v>1109</v>
      </c>
      <c r="BP306" s="14" t="s">
        <v>1110</v>
      </c>
      <c r="BQ306" s="15"/>
      <c r="BR306" s="15"/>
      <c r="BS306" s="15"/>
      <c r="BT306" s="15"/>
      <c r="BU306" s="15"/>
    </row>
    <row r="307" spans="5:73" ht="15.75">
      <c r="E307" s="24" t="s">
        <v>835</v>
      </c>
      <c r="F307" s="24" t="s">
        <v>984</v>
      </c>
      <c r="G307" s="24" t="s">
        <v>997</v>
      </c>
      <c r="H307" s="24" t="s">
        <v>989</v>
      </c>
      <c r="I307" s="24" t="s">
        <v>990</v>
      </c>
      <c r="J307" s="24" t="s">
        <v>815</v>
      </c>
      <c r="K307" s="24" t="s">
        <v>988</v>
      </c>
      <c r="L307" s="24" t="s">
        <v>995</v>
      </c>
      <c r="M307" s="24" t="s">
        <v>1048</v>
      </c>
      <c r="N307" s="24" t="s">
        <v>102</v>
      </c>
      <c r="O307" s="24" t="s">
        <v>647</v>
      </c>
      <c r="P307" s="24" t="s">
        <v>699</v>
      </c>
      <c r="Q307" s="24" t="s">
        <v>985</v>
      </c>
      <c r="S307" s="24" t="s">
        <v>109</v>
      </c>
      <c r="T307" s="24" t="s">
        <v>840</v>
      </c>
      <c r="U307" s="24" t="s">
        <v>706</v>
      </c>
      <c r="V307" s="24" t="s">
        <v>695</v>
      </c>
      <c r="X307" s="24" t="s">
        <v>1011</v>
      </c>
      <c r="Y307" s="24" t="s">
        <v>1008</v>
      </c>
      <c r="Z307" s="24" t="s">
        <v>992</v>
      </c>
      <c r="AA307" s="24" t="s">
        <v>996</v>
      </c>
      <c r="BP307" s="14" t="s">
        <v>1600</v>
      </c>
      <c r="BQ307" s="14" t="s">
        <v>644</v>
      </c>
      <c r="BR307" s="14" t="s">
        <v>102</v>
      </c>
      <c r="BS307" s="14" t="s">
        <v>1540</v>
      </c>
      <c r="BT307" s="14" t="s">
        <v>646</v>
      </c>
      <c r="BU307" s="14" t="s">
        <v>1597</v>
      </c>
    </row>
    <row r="308" spans="5:73" ht="15.75">
      <c r="E308" s="4">
        <v>16000</v>
      </c>
      <c r="F308" s="4">
        <v>152914.56538212864</v>
      </c>
      <c r="G308" s="4">
        <v>160</v>
      </c>
      <c r="H308" s="4">
        <v>13.54</v>
      </c>
      <c r="I308" s="4">
        <v>0.64</v>
      </c>
      <c r="J308" s="4">
        <v>0.301</v>
      </c>
      <c r="K308" s="4">
        <v>30.4</v>
      </c>
      <c r="L308" s="4">
        <v>0.005</v>
      </c>
      <c r="M308" s="4">
        <v>1</v>
      </c>
      <c r="N308" s="4">
        <v>0.17163310965489723</v>
      </c>
      <c r="O308" s="4">
        <v>0.24433292962615244</v>
      </c>
      <c r="P308" s="4">
        <v>15.559873469387755</v>
      </c>
      <c r="Q308" s="4">
        <v>0.1171</v>
      </c>
      <c r="S308" s="4">
        <v>100</v>
      </c>
      <c r="T308" s="4">
        <v>0.994</v>
      </c>
      <c r="U308" s="4">
        <v>1.3130758017492712</v>
      </c>
      <c r="V308" s="4">
        <v>0.02</v>
      </c>
      <c r="X308" s="4">
        <v>299.7269743302237</v>
      </c>
      <c r="Y308" s="4">
        <v>684.0812730222092</v>
      </c>
      <c r="Z308" s="4">
        <v>1117.9558714162831</v>
      </c>
      <c r="AA308" s="4">
        <v>605.6377171438701</v>
      </c>
      <c r="BP308" s="4">
        <v>16</v>
      </c>
      <c r="BQ308" s="4">
        <v>0.7120340712072314</v>
      </c>
      <c r="BR308" s="31">
        <f>N308</f>
        <v>0.17163310965489723</v>
      </c>
      <c r="BS308" s="4">
        <v>0.07269981997125521</v>
      </c>
      <c r="BT308" s="4">
        <v>0.04500505271408481</v>
      </c>
      <c r="BU308" s="4">
        <v>0</v>
      </c>
    </row>
    <row r="309" spans="28:65" ht="15.75">
      <c r="AB309" s="1" t="s">
        <v>1049</v>
      </c>
      <c r="AC309" s="12" t="s">
        <v>1050</v>
      </c>
      <c r="AD309" s="13"/>
      <c r="AE309" s="13"/>
      <c r="AF309" s="13"/>
      <c r="AI309" s="1" t="s">
        <v>987</v>
      </c>
      <c r="AW309" s="1" t="s">
        <v>1051</v>
      </c>
      <c r="BF309" s="1" t="s">
        <v>1009</v>
      </c>
      <c r="BM309" s="1" t="s">
        <v>1112</v>
      </c>
    </row>
    <row r="310" spans="4:81" ht="15.75">
      <c r="D310" s="5" t="s">
        <v>1052</v>
      </c>
      <c r="E310" s="3" t="s">
        <v>835</v>
      </c>
      <c r="F310" s="3" t="s">
        <v>984</v>
      </c>
      <c r="G310" s="3" t="s">
        <v>997</v>
      </c>
      <c r="H310" s="3" t="s">
        <v>989</v>
      </c>
      <c r="I310" s="3" t="s">
        <v>990</v>
      </c>
      <c r="J310" s="3" t="s">
        <v>815</v>
      </c>
      <c r="K310" s="3" t="s">
        <v>988</v>
      </c>
      <c r="L310" s="3" t="s">
        <v>995</v>
      </c>
      <c r="M310" s="3" t="s">
        <v>1048</v>
      </c>
      <c r="N310" s="3" t="s">
        <v>102</v>
      </c>
      <c r="O310" s="3" t="s">
        <v>647</v>
      </c>
      <c r="P310" s="3" t="s">
        <v>699</v>
      </c>
      <c r="Q310" s="3" t="s">
        <v>985</v>
      </c>
      <c r="S310" s="3" t="s">
        <v>109</v>
      </c>
      <c r="T310" s="3" t="s">
        <v>840</v>
      </c>
      <c r="U310" s="3" t="s">
        <v>706</v>
      </c>
      <c r="V310" s="1" t="s">
        <v>695</v>
      </c>
      <c r="X310" s="3" t="s">
        <v>1011</v>
      </c>
      <c r="Y310" s="3" t="s">
        <v>1008</v>
      </c>
      <c r="Z310" s="3" t="s">
        <v>992</v>
      </c>
      <c r="AA310" s="3" t="s">
        <v>996</v>
      </c>
      <c r="AC310" s="24" t="s">
        <v>1011</v>
      </c>
      <c r="AD310" s="24" t="s">
        <v>1008</v>
      </c>
      <c r="AE310" s="24" t="s">
        <v>992</v>
      </c>
      <c r="AF310" s="24" t="s">
        <v>996</v>
      </c>
      <c r="AH310" s="3" t="s">
        <v>1003</v>
      </c>
      <c r="AI310" s="3" t="s">
        <v>991</v>
      </c>
      <c r="AJ310" s="3" t="s">
        <v>1053</v>
      </c>
      <c r="AK310" s="3" t="s">
        <v>209</v>
      </c>
      <c r="AL310" s="3" t="s">
        <v>206</v>
      </c>
      <c r="AM310" s="3" t="s">
        <v>993</v>
      </c>
      <c r="AN310" s="3" t="s">
        <v>994</v>
      </c>
      <c r="AO310" s="3" t="s">
        <v>820</v>
      </c>
      <c r="AP310" s="3" t="s">
        <v>998</v>
      </c>
      <c r="AQ310" s="3" t="s">
        <v>999</v>
      </c>
      <c r="AR310" s="3" t="s">
        <v>1000</v>
      </c>
      <c r="AS310" s="3" t="s">
        <v>1001</v>
      </c>
      <c r="AT310" s="3" t="s">
        <v>1002</v>
      </c>
      <c r="AU310" s="3" t="s">
        <v>1004</v>
      </c>
      <c r="AW310" s="3" t="s">
        <v>109</v>
      </c>
      <c r="AX310" s="3" t="s">
        <v>840</v>
      </c>
      <c r="AY310" s="3" t="s">
        <v>1006</v>
      </c>
      <c r="AZ310" s="3" t="s">
        <v>1007</v>
      </c>
      <c r="BA310" s="3" t="s">
        <v>1008</v>
      </c>
      <c r="BB310" s="3" t="s">
        <v>865</v>
      </c>
      <c r="BC310" s="3" t="s">
        <v>544</v>
      </c>
      <c r="BD310" s="3" t="s">
        <v>996</v>
      </c>
      <c r="BF310" s="3" t="s">
        <v>706</v>
      </c>
      <c r="BG310" s="1" t="s">
        <v>695</v>
      </c>
      <c r="BH310" s="3" t="s">
        <v>699</v>
      </c>
      <c r="BI310" s="3" t="s">
        <v>1010</v>
      </c>
      <c r="BJ310" s="3" t="s">
        <v>1011</v>
      </c>
      <c r="BK310" s="3" t="s">
        <v>1053</v>
      </c>
      <c r="BL310" s="1" t="s">
        <v>1113</v>
      </c>
      <c r="BM310" s="3" t="s">
        <v>1604</v>
      </c>
      <c r="BN310" s="3" t="s">
        <v>1114</v>
      </c>
      <c r="BO310" s="14" t="s">
        <v>1115</v>
      </c>
      <c r="BP310" s="14" t="s">
        <v>1600</v>
      </c>
      <c r="BQ310" s="14" t="s">
        <v>644</v>
      </c>
      <c r="BR310" s="14" t="s">
        <v>102</v>
      </c>
      <c r="BS310" s="14" t="s">
        <v>1540</v>
      </c>
      <c r="BT310" s="14" t="s">
        <v>646</v>
      </c>
      <c r="BU310" s="14" t="s">
        <v>1597</v>
      </c>
      <c r="BV310" s="14" t="s">
        <v>369</v>
      </c>
      <c r="BW310" s="1" t="s">
        <v>88</v>
      </c>
      <c r="BX310" s="1" t="s">
        <v>306</v>
      </c>
      <c r="BY310" s="1" t="s">
        <v>1508</v>
      </c>
      <c r="BZ310" s="1" t="s">
        <v>387</v>
      </c>
      <c r="CA310" s="3" t="s">
        <v>397</v>
      </c>
      <c r="CB310" s="3" t="s">
        <v>404</v>
      </c>
      <c r="CC310" s="3" t="s">
        <v>544</v>
      </c>
    </row>
    <row r="311" spans="4:81" ht="15.75">
      <c r="D311" s="4">
        <v>1</v>
      </c>
      <c r="E311" s="31">
        <f aca="true" t="shared" si="8" ref="E311:Q311">E308</f>
        <v>16000</v>
      </c>
      <c r="F311" s="31">
        <f t="shared" si="8"/>
        <v>152914.56538212864</v>
      </c>
      <c r="G311" s="31">
        <f t="shared" si="8"/>
        <v>160</v>
      </c>
      <c r="H311" s="31">
        <f t="shared" si="8"/>
        <v>13.54</v>
      </c>
      <c r="I311" s="31">
        <f t="shared" si="8"/>
        <v>0.64</v>
      </c>
      <c r="J311" s="31">
        <f t="shared" si="8"/>
        <v>0.301</v>
      </c>
      <c r="K311" s="31">
        <f t="shared" si="8"/>
        <v>30.4</v>
      </c>
      <c r="L311" s="31">
        <f t="shared" si="8"/>
        <v>0.005</v>
      </c>
      <c r="M311" s="31">
        <f t="shared" si="8"/>
        <v>1</v>
      </c>
      <c r="N311" s="31">
        <f t="shared" si="8"/>
        <v>0.17163310965489723</v>
      </c>
      <c r="O311" s="31">
        <f t="shared" si="8"/>
        <v>0.24433292962615244</v>
      </c>
      <c r="P311" s="31">
        <f t="shared" si="8"/>
        <v>15.559873469387755</v>
      </c>
      <c r="Q311" s="31">
        <f t="shared" si="8"/>
        <v>0.1171</v>
      </c>
      <c r="S311" s="31">
        <f>S308</f>
        <v>100</v>
      </c>
      <c r="T311" s="31">
        <f>T308</f>
        <v>0.994</v>
      </c>
      <c r="U311" s="31">
        <f>U308</f>
        <v>1.3130758017492712</v>
      </c>
      <c r="V311" s="31">
        <f>V308</f>
        <v>0.02</v>
      </c>
      <c r="X311" s="31">
        <f>X308</f>
        <v>299.7269743302237</v>
      </c>
      <c r="Y311" s="31">
        <f>AD312</f>
        <v>768.4172304906084</v>
      </c>
      <c r="Z311" s="31">
        <f>Z308</f>
        <v>1117.9558714162831</v>
      </c>
      <c r="AA311" s="31">
        <f>AF312</f>
        <v>712.9346945907037</v>
      </c>
      <c r="AC311" s="31">
        <f>BJ311</f>
        <v>285.0797956187341</v>
      </c>
      <c r="AD311" s="31">
        <f>BA311</f>
        <v>792.1210075515902</v>
      </c>
      <c r="AE311" s="31">
        <f>BK311+273</f>
        <v>1079.2938880107731</v>
      </c>
      <c r="AF311" s="31">
        <f>BD311</f>
        <v>749.8804626957727</v>
      </c>
      <c r="AH311" s="31">
        <f>Z311-AA311</f>
        <v>405.02117682557946</v>
      </c>
      <c r="AI311" s="31">
        <f>AA311+(L311+1/AN311)*AU311*E311/G311</f>
        <v>840.7450157350637</v>
      </c>
      <c r="AJ311" s="31">
        <f>Z311-273</f>
        <v>844.9558714162831</v>
      </c>
      <c r="AK311" s="31">
        <f>E311*P311/(3600*K311)*(AJ311+273)/273</f>
        <v>9.315624479787338</v>
      </c>
      <c r="AL311" s="31">
        <f>1.1077-0.002944*AJ311^0.7+0.67936*N311+0.0050854*AJ311^0.7*N311+0.0000089737*AJ311^1.4-2.4659*N311^2-0.000046377*AJ311^1.4*N311^2+23.168*AJ311^-0.1*N311^4</f>
        <v>1.025405885521988</v>
      </c>
      <c r="AM311" s="31">
        <f>H311*AL311*AK311^I311</f>
        <v>57.917543456201365</v>
      </c>
      <c r="AN311" s="31">
        <f>Q311*F311^0.8</f>
        <v>1644.8109131775936</v>
      </c>
      <c r="AO311" s="31">
        <f>((0.78+1.6*N311)/(M311*O311*J311)^0.5-0.1)*(1-0.37*Z311/1000)</f>
        <v>2.221603935350151</v>
      </c>
      <c r="AP311" s="31">
        <f>AO311*O311+BN311</f>
        <v>0.5428109979930917</v>
      </c>
      <c r="AQ311" s="31">
        <f>1-EXP(-AP311*M311*J311)</f>
        <v>0.15073678425463602</v>
      </c>
      <c r="AR311" s="31">
        <f>0.000000049*(0.82+1)/2*AQ311*Z311^3*(1-(AI311/Z311)^$L$10)/(1-AI311/Z311)</f>
        <v>24.29721933662809</v>
      </c>
      <c r="AS311" s="31">
        <f>AM311+AR311</f>
        <v>82.21476279282945</v>
      </c>
      <c r="AT311" s="31">
        <f>1/(1/AS311+L311+1/AN311)</f>
        <v>56.270699033703856</v>
      </c>
      <c r="AU311" s="31">
        <f>AT311*G311*AH311/E311</f>
        <v>227.90824743428732</v>
      </c>
      <c r="AW311" s="31">
        <f aca="true" t="shared" si="9" ref="AW311:AX315">S311</f>
        <v>100</v>
      </c>
      <c r="AX311" s="31">
        <f t="shared" si="9"/>
        <v>0.994</v>
      </c>
      <c r="AY311" s="31">
        <f>Y311</f>
        <v>768.4172304906084</v>
      </c>
      <c r="AZ311" s="31">
        <f>AU311*AX311</f>
        <v>226.5407979496816</v>
      </c>
      <c r="BA311" s="31">
        <f>AY311+AZ311*E311/F311</f>
        <v>792.1210075515902</v>
      </c>
      <c r="BB311" s="31">
        <f>193.897+1.6984*AW311-0.0066353*AW311^2+0.0000121825*AW311^3</f>
        <v>309.56649999999996</v>
      </c>
      <c r="BC311" s="31">
        <f>3074.3-3.1077*AW311-2.3864*10^7*BA311^-1.3+22437.3*AW311*BA311^-1.3+0.0041697*AW311^2+4.8476*10^10*BA311^-2.6-177649*AW311^2*BA311^-2.6</f>
        <v>476.88046269577274</v>
      </c>
      <c r="BD311" s="31">
        <f>BC311+273</f>
        <v>749.8804626957727</v>
      </c>
      <c r="BF311" s="31">
        <f aca="true" t="shared" si="10" ref="BF311:BG315">U311</f>
        <v>1.3130758017492712</v>
      </c>
      <c r="BG311" s="31">
        <f t="shared" si="10"/>
        <v>0.02</v>
      </c>
      <c r="BH311" s="31">
        <f>P311</f>
        <v>15.559873469387755</v>
      </c>
      <c r="BI311" s="31">
        <f>X311</f>
        <v>299.7269743302237</v>
      </c>
      <c r="BJ311" s="31">
        <f>BI311-AU311/BH311</f>
        <v>285.0797956187341</v>
      </c>
      <c r="BK311" s="31">
        <f>CC311</f>
        <v>806.2938880107732</v>
      </c>
      <c r="BM311" s="31">
        <f>7*(BP311*BO311)^-(2/3)</f>
        <v>0.010234538815938355</v>
      </c>
      <c r="BN311" s="31">
        <f>BM311*BU311</f>
        <v>0</v>
      </c>
      <c r="BO311" s="31">
        <f>Z311</f>
        <v>1117.9558714162831</v>
      </c>
      <c r="BP311" s="31">
        <f aca="true" t="shared" si="11" ref="BP311:BU311">BP308</f>
        <v>16</v>
      </c>
      <c r="BQ311" s="31">
        <f t="shared" si="11"/>
        <v>0.7120340712072314</v>
      </c>
      <c r="BR311" s="31">
        <f t="shared" si="11"/>
        <v>0.17163310965489723</v>
      </c>
      <c r="BS311" s="31">
        <f t="shared" si="11"/>
        <v>0.07269981997125521</v>
      </c>
      <c r="BT311" s="31">
        <f t="shared" si="11"/>
        <v>0.04500505271408481</v>
      </c>
      <c r="BU311" s="31">
        <f t="shared" si="11"/>
        <v>0</v>
      </c>
      <c r="BV311" s="31">
        <f>BJ311</f>
        <v>285.0797956187341</v>
      </c>
      <c r="BW311" s="31">
        <f>(0.309701-0.00000555238*(CC311+100)^1.1+0.0000000160444*(CC311+100)^2.2-0.00000000000568436*(CC311+100)^3.3+0.000000000000000856875*(CC311+100)^4.4-0.0000000000000000000482474*(CC311+100)^5.5)*CC311</f>
        <v>263.24459063768717</v>
      </c>
      <c r="BX311" s="31">
        <f>(0.356179-0.0000326182*(CC311+100)^0.8+0.00000129519*(CC311+100)^1.6-0.00000000148934*(CC311+100)^2.4-0.000000000000594678*(CC311+100)^3.2+0.00000000000000129158*(CC311+100)^4)*CC311</f>
        <v>321.6523658508991</v>
      </c>
      <c r="BY311" s="31">
        <f>(0.34584+0.0008688*(CC311+100)^0.82-0.00000109945*(CC311+100)^1.64+0.00000000054341*(CC311+100)^2.46)*CC311</f>
        <v>410.72207675598946</v>
      </c>
      <c r="BZ311" s="31">
        <f>(0.317715-0.000574557*(CC311+100)^0.7+0.0000164618*(CC311+100)^1.4-0.000000119525*(CC311+100)^2.1+0.000000000385185*(CC311+100)^2.8-0.000000000000467365*(CC311+100)^3.5)*CC311</f>
        <v>279.41443122763417</v>
      </c>
      <c r="CA311" s="31">
        <f>0.10364*CC311^1.12+0.26993*IF(CC311&lt;=1300,0,(CC311-1300)^0.9)</f>
        <v>186.55202866385048</v>
      </c>
      <c r="CB311" s="31">
        <f>BQ311*BW311+BR311*BX311+BS311*BY311+BT311*BZ311+0.001*BU311*CA311</f>
        <v>285.0797956187341</v>
      </c>
      <c r="CC311" s="31">
        <f>CC311+2.5*(BV311-CB311)</f>
        <v>806.2938880107732</v>
      </c>
    </row>
    <row r="312" spans="4:81" ht="15.75">
      <c r="D312" s="4">
        <v>2</v>
      </c>
      <c r="E312" s="31">
        <f aca="true" t="shared" si="12" ref="E312:Q315">E311</f>
        <v>16000</v>
      </c>
      <c r="F312" s="31">
        <f t="shared" si="12"/>
        <v>152914.56538212864</v>
      </c>
      <c r="G312" s="31">
        <f t="shared" si="12"/>
        <v>160</v>
      </c>
      <c r="H312" s="31">
        <f t="shared" si="12"/>
        <v>13.54</v>
      </c>
      <c r="I312" s="31">
        <f t="shared" si="12"/>
        <v>0.64</v>
      </c>
      <c r="J312" s="31">
        <f t="shared" si="12"/>
        <v>0.301</v>
      </c>
      <c r="K312" s="31">
        <f t="shared" si="12"/>
        <v>30.4</v>
      </c>
      <c r="L312" s="31">
        <f t="shared" si="12"/>
        <v>0.005</v>
      </c>
      <c r="M312" s="31">
        <f t="shared" si="12"/>
        <v>1</v>
      </c>
      <c r="N312" s="31">
        <f t="shared" si="12"/>
        <v>0.17163310965489723</v>
      </c>
      <c r="O312" s="31">
        <f t="shared" si="12"/>
        <v>0.24433292962615244</v>
      </c>
      <c r="P312" s="31">
        <f t="shared" si="12"/>
        <v>15.559873469387755</v>
      </c>
      <c r="Q312" s="31">
        <f t="shared" si="12"/>
        <v>0.1171</v>
      </c>
      <c r="S312" s="31">
        <f aca="true" t="shared" si="13" ref="S312:V315">S311</f>
        <v>100</v>
      </c>
      <c r="T312" s="31">
        <f t="shared" si="13"/>
        <v>0.994</v>
      </c>
      <c r="U312" s="31">
        <f t="shared" si="13"/>
        <v>1.3130758017492712</v>
      </c>
      <c r="V312" s="31">
        <f t="shared" si="13"/>
        <v>0.02</v>
      </c>
      <c r="X312" s="31">
        <f>AC311</f>
        <v>285.0797956187341</v>
      </c>
      <c r="Y312" s="31">
        <f>AD313</f>
        <v>745.6983343835846</v>
      </c>
      <c r="Z312" s="31">
        <f>AE311</f>
        <v>1079.2938880107731</v>
      </c>
      <c r="AA312" s="31">
        <f>AF313</f>
        <v>679.563240290056</v>
      </c>
      <c r="AC312" s="31">
        <f>BJ312</f>
        <v>271.0412003960722</v>
      </c>
      <c r="AD312" s="31">
        <f>BA312</f>
        <v>768.4172304906084</v>
      </c>
      <c r="AE312" s="31">
        <f>BK312+273</f>
        <v>1042.9345144115737</v>
      </c>
      <c r="AF312" s="31">
        <f>BD312</f>
        <v>712.9346945907037</v>
      </c>
      <c r="AH312" s="31">
        <f>Z312-AA312</f>
        <v>399.7306477207171</v>
      </c>
      <c r="AI312" s="31">
        <f>AA312+(L312+1/AN312)*AU312*E312/G312</f>
        <v>802.0631018105976</v>
      </c>
      <c r="AJ312" s="31">
        <f>Z312-273</f>
        <v>806.2938880107731</v>
      </c>
      <c r="AK312" s="31">
        <f>E312*P312/(3600*K312)*(AJ312+273)/273</f>
        <v>8.993464609028548</v>
      </c>
      <c r="AL312" s="31">
        <f>1.1077-0.002944*AJ312^0.7+0.67936*N312+0.0050854*AJ312^0.7*N312+0.0000089737*AJ312^1.4-2.4659*N312^2-0.000046377*AJ312^1.4*N312^2+23.168*AJ312^-0.1*N312^4</f>
        <v>1.026883969457255</v>
      </c>
      <c r="AM312" s="31">
        <f>H312*AL312*AK312^I312</f>
        <v>56.7091761063811</v>
      </c>
      <c r="AN312" s="31">
        <f>Q312*F312^0.8</f>
        <v>1644.8109131775936</v>
      </c>
      <c r="AO312" s="31">
        <f>((0.78+1.6*N312)/(M312*O312*J312)^0.5-0.1)*(1-0.37*Z312/1000)</f>
        <v>2.2758028854830257</v>
      </c>
      <c r="AP312" s="31">
        <f>AO312*O312+BN312</f>
        <v>0.5560535862617187</v>
      </c>
      <c r="AQ312" s="31">
        <f>1-EXP(-AP312*M312*J312)</f>
        <v>0.15411522588753623</v>
      </c>
      <c r="AR312" s="31">
        <f>0.000000049*(0.82+1)/2*AQ312*Z312^3*(1-(AI312/Z312)^$L$10)/(1-AI312/Z312)</f>
        <v>22.083936428691327</v>
      </c>
      <c r="AS312" s="31">
        <f>AM312+AR312</f>
        <v>78.79311253507242</v>
      </c>
      <c r="AT312" s="31">
        <f>1/(1/AS312+L312+1/AN312)</f>
        <v>54.64648922921433</v>
      </c>
      <c r="AU312" s="31">
        <f>AT312*G312*AH312/E312</f>
        <v>218.43876535257036</v>
      </c>
      <c r="AW312" s="31">
        <f t="shared" si="9"/>
        <v>100</v>
      </c>
      <c r="AX312" s="31">
        <f t="shared" si="9"/>
        <v>0.994</v>
      </c>
      <c r="AY312" s="31">
        <f>Y312</f>
        <v>745.6983343835846</v>
      </c>
      <c r="AZ312" s="31">
        <f>AU312*AX312</f>
        <v>217.12813276045495</v>
      </c>
      <c r="BA312" s="31">
        <f>AY312+AZ312*E312/F312</f>
        <v>768.4172304906084</v>
      </c>
      <c r="BB312" s="31">
        <f>193.897+1.6984*AW312-0.0066353*AW312^2+0.0000121825*AW312^3</f>
        <v>309.56649999999996</v>
      </c>
      <c r="BC312" s="31">
        <f>3074.3-3.1077*AW312-2.3864*10^7*BA312^-1.3+22437.3*AW312*BA312^-1.3+0.0041697*AW312^2+4.8476*10^10*BA312^-2.6-177649*AW312^2*BA312^-2.6</f>
        <v>439.9346945907036</v>
      </c>
      <c r="BD312" s="31">
        <f>BC312+273</f>
        <v>712.9346945907037</v>
      </c>
      <c r="BF312" s="31">
        <f t="shared" si="10"/>
        <v>1.3130758017492712</v>
      </c>
      <c r="BG312" s="31">
        <f t="shared" si="10"/>
        <v>0.02</v>
      </c>
      <c r="BH312" s="31">
        <f>P312</f>
        <v>15.559873469387755</v>
      </c>
      <c r="BI312" s="31">
        <f>X312</f>
        <v>285.0797956187341</v>
      </c>
      <c r="BJ312" s="31">
        <f>BI312-AU312/BH312</f>
        <v>271.0412003960722</v>
      </c>
      <c r="BK312" s="31">
        <f>CC312</f>
        <v>769.9345144115737</v>
      </c>
      <c r="BM312" s="31">
        <f>7*(BP312*BO312)^-(2/3)</f>
        <v>0.010477513758329931</v>
      </c>
      <c r="BN312" s="31">
        <f>BM312*BU312</f>
        <v>0</v>
      </c>
      <c r="BO312" s="31">
        <f>Z312</f>
        <v>1079.2938880107731</v>
      </c>
      <c r="BP312" s="31">
        <f aca="true" t="shared" si="14" ref="BP312:BU315">BP311</f>
        <v>16</v>
      </c>
      <c r="BQ312" s="31">
        <f t="shared" si="14"/>
        <v>0.7120340712072314</v>
      </c>
      <c r="BR312" s="31">
        <f t="shared" si="14"/>
        <v>0.17163310965489723</v>
      </c>
      <c r="BS312" s="31">
        <f t="shared" si="14"/>
        <v>0.07269981997125521</v>
      </c>
      <c r="BT312" s="31">
        <f t="shared" si="14"/>
        <v>0.04500505271408481</v>
      </c>
      <c r="BU312" s="31">
        <f t="shared" si="14"/>
        <v>0</v>
      </c>
      <c r="BV312" s="31">
        <f>BJ312</f>
        <v>271.0412003960722</v>
      </c>
      <c r="BW312" s="31">
        <f>(0.309701-0.00000555238*(CC312+100)^1.1+0.0000000160444*(CC312+100)^2.2-0.00000000000568436*(CC312+100)^3.3+0.000000000000000856875*(CC312+100)^4.4-0.0000000000000000000482474*(CC312+100)^5.5)*CC312</f>
        <v>250.49446273912068</v>
      </c>
      <c r="BX312" s="31">
        <f>(0.356179-0.0000326182*(CC312+100)^0.8+0.00000129519*(CC312+100)^1.6-0.00000000148934*(CC312+100)^2.4-0.000000000000594678*(CC312+100)^3.2+0.00000000000000129158*(CC312+100)^4)*CC312</f>
        <v>305.3320211900661</v>
      </c>
      <c r="BY312" s="31">
        <f>(0.34584+0.0008688*(CC312+100)^0.82-0.00000109945*(CC312+100)^1.64+0.00000000054341*(CC312+100)^2.46)*CC312</f>
        <v>389.4611590011459</v>
      </c>
      <c r="BZ312" s="31">
        <f>(0.317715-0.000574557*(CC312+100)^0.7+0.0000164618*(CC312+100)^1.4-0.000000119525*(CC312+100)^2.1+0.000000000385185*(CC312+100)^2.8-0.000000000000467365*(CC312+100)^3.5)*CC312</f>
        <v>265.78722024424377</v>
      </c>
      <c r="CA312" s="31">
        <f>0.10364*CC312^1.12+0.26993*IF(CC312&lt;=1300,0,(CC312-1300)^0.9)</f>
        <v>177.155910923446</v>
      </c>
      <c r="CB312" s="31">
        <f>BQ312*BW312+BR312*BX312+BS312*BY312+BT312*BZ312+0.001*BU312*CA312</f>
        <v>271.0412003960722</v>
      </c>
      <c r="CC312" s="31">
        <f>CC312+2.5*(BV312-CB312)</f>
        <v>769.9345144115737</v>
      </c>
    </row>
    <row r="313" spans="4:81" ht="15.75">
      <c r="D313" s="4">
        <v>3</v>
      </c>
      <c r="E313" s="31">
        <f t="shared" si="12"/>
        <v>16000</v>
      </c>
      <c r="F313" s="31">
        <f t="shared" si="12"/>
        <v>152914.56538212864</v>
      </c>
      <c r="G313" s="31">
        <f t="shared" si="12"/>
        <v>160</v>
      </c>
      <c r="H313" s="31">
        <f t="shared" si="12"/>
        <v>13.54</v>
      </c>
      <c r="I313" s="31">
        <f t="shared" si="12"/>
        <v>0.64</v>
      </c>
      <c r="J313" s="31">
        <f t="shared" si="12"/>
        <v>0.301</v>
      </c>
      <c r="K313" s="31">
        <f t="shared" si="12"/>
        <v>30.4</v>
      </c>
      <c r="L313" s="31">
        <f t="shared" si="12"/>
        <v>0.005</v>
      </c>
      <c r="M313" s="31">
        <f t="shared" si="12"/>
        <v>1</v>
      </c>
      <c r="N313" s="31">
        <f t="shared" si="12"/>
        <v>0.17163310965489723</v>
      </c>
      <c r="O313" s="31">
        <f t="shared" si="12"/>
        <v>0.24433292962615244</v>
      </c>
      <c r="P313" s="31">
        <f t="shared" si="12"/>
        <v>15.559873469387755</v>
      </c>
      <c r="Q313" s="31">
        <f t="shared" si="12"/>
        <v>0.1171</v>
      </c>
      <c r="S313" s="31">
        <f t="shared" si="13"/>
        <v>100</v>
      </c>
      <c r="T313" s="31">
        <f t="shared" si="13"/>
        <v>0.994</v>
      </c>
      <c r="U313" s="31">
        <f t="shared" si="13"/>
        <v>1.3130758017492712</v>
      </c>
      <c r="V313" s="31">
        <f t="shared" si="13"/>
        <v>0.02</v>
      </c>
      <c r="X313" s="31">
        <f>AC312</f>
        <v>271.0412003960722</v>
      </c>
      <c r="Y313" s="31">
        <f>AD314</f>
        <v>723.9949465504741</v>
      </c>
      <c r="Z313" s="31">
        <f>AE312</f>
        <v>1042.9345144115737</v>
      </c>
      <c r="AA313" s="31">
        <f>AF314</f>
        <v>650.2334141942206</v>
      </c>
      <c r="AC313" s="31">
        <f>BJ313</f>
        <v>257.63011407769756</v>
      </c>
      <c r="AD313" s="31">
        <f>BA313</f>
        <v>745.6983343835846</v>
      </c>
      <c r="AE313" s="31">
        <f>BK313+273</f>
        <v>1007.9472121145097</v>
      </c>
      <c r="AF313" s="31">
        <f>BD313</f>
        <v>679.563240290056</v>
      </c>
      <c r="AH313" s="31">
        <f>Z313-AA313</f>
        <v>392.7011002173531</v>
      </c>
      <c r="AI313" s="31">
        <f>AA313+(L313+1/AN313)*AU313*E313/G313</f>
        <v>767.2576741564235</v>
      </c>
      <c r="AJ313" s="31">
        <f>Z313-273</f>
        <v>769.9345144115737</v>
      </c>
      <c r="AK313" s="31">
        <f>E313*P313/(3600*K313)*(AJ313+273)/273</f>
        <v>8.69049176418688</v>
      </c>
      <c r="AL313" s="31">
        <f>1.1077-0.002944*AJ313^0.7+0.67936*N313+0.0050854*AJ313^0.7*N313+0.0000089737*AJ313^1.4-2.4659*N313^2-0.000046377*AJ313^1.4*N313^2+23.168*AJ313^-0.1*N313^4</f>
        <v>1.0284798747344848</v>
      </c>
      <c r="AM313" s="31">
        <f>H313*AL313*AK313^I313</f>
        <v>55.56519562664658</v>
      </c>
      <c r="AN313" s="31">
        <f>Q313*F313^0.8</f>
        <v>1644.8109131775936</v>
      </c>
      <c r="AO313" s="31">
        <f>((0.78+1.6*N313)/(M313*O313*J313)^0.5-0.1)*(1-0.37*Z313/1000)</f>
        <v>2.326773883424241</v>
      </c>
      <c r="AP313" s="31">
        <f>AO313*O313+BN313</f>
        <v>0.5685074795146645</v>
      </c>
      <c r="AQ313" s="31">
        <f>1-EXP(-AP313*M313*J313)</f>
        <v>0.15728019221333353</v>
      </c>
      <c r="AR313" s="31">
        <f>0.000000049*(0.82+1)/2*AQ313*Z313^3*(1-(AI313/Z313)^$L$10)/(1-AI313/Z313)</f>
        <v>20.13024763503978</v>
      </c>
      <c r="AS313" s="31">
        <f>AM313+AR313</f>
        <v>75.69544326168636</v>
      </c>
      <c r="AT313" s="31">
        <f>1/(1/AS313+L313+1/AN313)</f>
        <v>53.13832991184622</v>
      </c>
      <c r="AU313" s="31">
        <f>AT313*G313*AH313/E313</f>
        <v>208.67480620094693</v>
      </c>
      <c r="AW313" s="31">
        <f t="shared" si="9"/>
        <v>100</v>
      </c>
      <c r="AX313" s="31">
        <f t="shared" si="9"/>
        <v>0.994</v>
      </c>
      <c r="AY313" s="31">
        <f>Y313</f>
        <v>723.9949465504741</v>
      </c>
      <c r="AZ313" s="31">
        <f>AU313*AX313</f>
        <v>207.42275736374125</v>
      </c>
      <c r="BA313" s="31">
        <f>AY313+AZ313*E313/F313</f>
        <v>745.6983343835846</v>
      </c>
      <c r="BB313" s="31">
        <f>193.897+1.6984*AW313-0.0066353*AW313^2+0.0000121825*AW313^3</f>
        <v>309.56649999999996</v>
      </c>
      <c r="BC313" s="31">
        <f>3074.3-3.1077*AW313-2.3864*10^7*BA313^-1.3+22437.3*AW313*BA313^-1.3+0.0041697*AW313^2+4.8476*10^10*BA313^-2.6-177649*AW313^2*BA313^-2.6</f>
        <v>406.56324029005594</v>
      </c>
      <c r="BD313" s="31">
        <f>BC313+273</f>
        <v>679.563240290056</v>
      </c>
      <c r="BF313" s="31">
        <f t="shared" si="10"/>
        <v>1.3130758017492712</v>
      </c>
      <c r="BG313" s="31">
        <f t="shared" si="10"/>
        <v>0.02</v>
      </c>
      <c r="BH313" s="31">
        <f>P313</f>
        <v>15.559873469387755</v>
      </c>
      <c r="BI313" s="31">
        <f>X313</f>
        <v>271.0412003960722</v>
      </c>
      <c r="BJ313" s="31">
        <f>BI313-AU313/BH313</f>
        <v>257.63011407769756</v>
      </c>
      <c r="BK313" s="31">
        <f>CC313</f>
        <v>734.9472121145097</v>
      </c>
      <c r="BM313" s="31">
        <f>7*(BP313*BO313)^-(2/3)</f>
        <v>0.010719635662848684</v>
      </c>
      <c r="BN313" s="31">
        <f>BM313*BU313</f>
        <v>0</v>
      </c>
      <c r="BO313" s="31">
        <f>Z313</f>
        <v>1042.9345144115737</v>
      </c>
      <c r="BP313" s="31">
        <f t="shared" si="14"/>
        <v>16</v>
      </c>
      <c r="BQ313" s="31">
        <f t="shared" si="14"/>
        <v>0.7120340712072314</v>
      </c>
      <c r="BR313" s="31">
        <f t="shared" si="14"/>
        <v>0.17163310965489723</v>
      </c>
      <c r="BS313" s="31">
        <f t="shared" si="14"/>
        <v>0.07269981997125521</v>
      </c>
      <c r="BT313" s="31">
        <f t="shared" si="14"/>
        <v>0.04500505271408481</v>
      </c>
      <c r="BU313" s="31">
        <f t="shared" si="14"/>
        <v>0</v>
      </c>
      <c r="BV313" s="31">
        <f>BJ313</f>
        <v>257.63011407769756</v>
      </c>
      <c r="BW313" s="31">
        <f>(0.309701-0.00000555238*(CC313+100)^1.1+0.0000000160444*(CC313+100)^2.2-0.00000000000568436*(CC313+100)^3.3+0.000000000000000856875*(CC313+100)^4.4-0.0000000000000000000482474*(CC313+100)^5.5)*CC313</f>
        <v>238.30287019057312</v>
      </c>
      <c r="BX313" s="31">
        <f>(0.356179-0.0000326182*(CC313+100)^0.8+0.00000129519*(CC313+100)^1.6-0.00000000148934*(CC313+100)^2.4-0.000000000000594678*(CC313+100)^3.2+0.00000000000000129158*(CC313+100)^4)*CC313</f>
        <v>289.7959538496993</v>
      </c>
      <c r="BY313" s="31">
        <f>(0.34584+0.0008688*(CC313+100)^0.82-0.00000109945*(CC313+100)^1.64+0.00000000054341*(CC313+100)^2.46)*CC313</f>
        <v>369.1545893955628</v>
      </c>
      <c r="BZ313" s="31">
        <f>(0.317715-0.000574557*(CC313+100)^0.7+0.0000164618*(CC313+100)^1.4-0.000000119525*(CC313+100)^2.1+0.000000000385185*(CC313+100)^2.8-0.000000000000467365*(CC313+100)^3.5)*CC313</f>
        <v>252.73380730258876</v>
      </c>
      <c r="CA313" s="31">
        <f>0.10364*CC313^1.12+0.26993*IF(CC313&lt;=1300,0,(CC313-1300)^0.9)</f>
        <v>168.16448776768954</v>
      </c>
      <c r="CB313" s="31">
        <f>BQ313*BW313+BR313*BX313+BS313*BY313+BT313*BZ313+0.001*BU313*CA313</f>
        <v>257.63011407769756</v>
      </c>
      <c r="CC313" s="31">
        <f>CC313+2.5*(BV313-CB313)</f>
        <v>734.9472121145097</v>
      </c>
    </row>
    <row r="314" spans="4:81" ht="15.75">
      <c r="D314" s="4">
        <v>4</v>
      </c>
      <c r="E314" s="31">
        <f t="shared" si="12"/>
        <v>16000</v>
      </c>
      <c r="F314" s="31">
        <f t="shared" si="12"/>
        <v>152914.56538212864</v>
      </c>
      <c r="G314" s="31">
        <f t="shared" si="12"/>
        <v>160</v>
      </c>
      <c r="H314" s="31">
        <f t="shared" si="12"/>
        <v>13.54</v>
      </c>
      <c r="I314" s="31">
        <f t="shared" si="12"/>
        <v>0.64</v>
      </c>
      <c r="J314" s="31">
        <f t="shared" si="12"/>
        <v>0.301</v>
      </c>
      <c r="K314" s="31">
        <f t="shared" si="12"/>
        <v>30.4</v>
      </c>
      <c r="L314" s="31">
        <f t="shared" si="12"/>
        <v>0.005</v>
      </c>
      <c r="M314" s="31">
        <f t="shared" si="12"/>
        <v>1</v>
      </c>
      <c r="N314" s="31">
        <f t="shared" si="12"/>
        <v>0.17163310965489723</v>
      </c>
      <c r="O314" s="31">
        <f t="shared" si="12"/>
        <v>0.24433292962615244</v>
      </c>
      <c r="P314" s="31">
        <f t="shared" si="12"/>
        <v>15.559873469387755</v>
      </c>
      <c r="Q314" s="31">
        <f t="shared" si="12"/>
        <v>0.1171</v>
      </c>
      <c r="S314" s="31">
        <f t="shared" si="13"/>
        <v>100</v>
      </c>
      <c r="T314" s="31">
        <f t="shared" si="13"/>
        <v>0.994</v>
      </c>
      <c r="U314" s="31">
        <f t="shared" si="13"/>
        <v>1.3130758017492712</v>
      </c>
      <c r="V314" s="31">
        <f t="shared" si="13"/>
        <v>0.02</v>
      </c>
      <c r="X314" s="31">
        <f>AC313</f>
        <v>257.63011407769756</v>
      </c>
      <c r="Y314" s="31">
        <f>AD315</f>
        <v>703.4201858885713</v>
      </c>
      <c r="Z314" s="31">
        <f>AE313</f>
        <v>1007.9472121145097</v>
      </c>
      <c r="AA314" s="31">
        <f>AF315</f>
        <v>625.4640141482591</v>
      </c>
      <c r="AC314" s="31">
        <f>BJ314</f>
        <v>244.91643576450247</v>
      </c>
      <c r="AD314" s="31">
        <f>BA314</f>
        <v>723.9949465504741</v>
      </c>
      <c r="AE314" s="31">
        <f>BK314+273</f>
        <v>974.5388093432629</v>
      </c>
      <c r="AF314" s="31">
        <f>BD314</f>
        <v>650.2334141942206</v>
      </c>
      <c r="AH314" s="31">
        <f>Z314-AA314</f>
        <v>382.4831979662506</v>
      </c>
      <c r="AI314" s="31">
        <f>AA314+(L314+1/AN314)*AU314*E314/G314</f>
        <v>736.4027375804321</v>
      </c>
      <c r="AJ314" s="31">
        <f>Z314-273</f>
        <v>734.9472121145097</v>
      </c>
      <c r="AK314" s="31">
        <f>E314*P314/(3600*K314)*(AJ314+273)/273</f>
        <v>8.398952019109693</v>
      </c>
      <c r="AL314" s="31">
        <f>1.1077-0.002944*AJ314^0.7+0.67936*N314+0.0050854*AJ314^0.7*N314+0.0000089737*AJ314^1.4-2.4659*N314^2-0.000046377*AJ314^1.4*N314^2+23.168*AJ314^-0.1*N314^4</f>
        <v>1.0302125027258278</v>
      </c>
      <c r="AM314" s="31">
        <f>H314*AL314*AK314^I314</f>
        <v>54.45647737567688</v>
      </c>
      <c r="AN314" s="31">
        <f>Q314*F314^0.8</f>
        <v>1644.8109131775936</v>
      </c>
      <c r="AO314" s="31">
        <f>((0.78+1.6*N314)/(M314*O314*J314)^0.5-0.1)*(1-0.37*Z314/1000)</f>
        <v>2.375821420189055</v>
      </c>
      <c r="AP314" s="31">
        <f>AO314*O314+BN314</f>
        <v>0.5804914078633578</v>
      </c>
      <c r="AQ314" s="31">
        <f>1-EXP(-AP314*M314*J314)</f>
        <v>0.16031454345643223</v>
      </c>
      <c r="AR314" s="31">
        <f>0.000000049*(0.82+1)/2*AQ314*Z314^3*(1-(AI314/Z314)^$L$10)/(1-AI314/Z314)</f>
        <v>18.394655472172293</v>
      </c>
      <c r="AS314" s="31">
        <f>AM314+AR314</f>
        <v>72.85113284784917</v>
      </c>
      <c r="AT314" s="31">
        <f>1/(1/AS314+L314+1/AN314)</f>
        <v>51.72076235915343</v>
      </c>
      <c r="AU314" s="31">
        <f>AT314*G314*AH314/E314</f>
        <v>197.82322588381484</v>
      </c>
      <c r="AW314" s="31">
        <f t="shared" si="9"/>
        <v>100</v>
      </c>
      <c r="AX314" s="31">
        <f t="shared" si="9"/>
        <v>0.994</v>
      </c>
      <c r="AY314" s="31">
        <f>Y314</f>
        <v>703.4201858885713</v>
      </c>
      <c r="AZ314" s="31">
        <f>AU314*AX314</f>
        <v>196.63628652851196</v>
      </c>
      <c r="BA314" s="31">
        <f>AY314+AZ314*E314/F314</f>
        <v>723.9949465504741</v>
      </c>
      <c r="BB314" s="31">
        <f>193.897+1.6984*AW314-0.0066353*AW314^2+0.0000121825*AW314^3</f>
        <v>309.56649999999996</v>
      </c>
      <c r="BC314" s="31">
        <f>3074.3-3.1077*AW314-2.3864*10^7*BA314^-1.3+22437.3*AW314*BA314^-1.3+0.0041697*AW314^2+4.8476*10^10*BA314^-2.6-177649*AW314^2*BA314^-2.6</f>
        <v>377.2334141942206</v>
      </c>
      <c r="BD314" s="31">
        <f>BC314+273</f>
        <v>650.2334141942206</v>
      </c>
      <c r="BF314" s="31">
        <f t="shared" si="10"/>
        <v>1.3130758017492712</v>
      </c>
      <c r="BG314" s="31">
        <f t="shared" si="10"/>
        <v>0.02</v>
      </c>
      <c r="BH314" s="31">
        <f>P314</f>
        <v>15.559873469387755</v>
      </c>
      <c r="BI314" s="31">
        <f>X314</f>
        <v>257.63011407769756</v>
      </c>
      <c r="BJ314" s="31">
        <f>BI314-AU314/BH314</f>
        <v>244.91643576450247</v>
      </c>
      <c r="BK314" s="31">
        <f>CC314</f>
        <v>701.5388093432629</v>
      </c>
      <c r="BM314" s="31">
        <f>7*(BP314*BO314)^-(2/3)</f>
        <v>0.01096628494437476</v>
      </c>
      <c r="BN314" s="31">
        <f>BM314*BU314</f>
        <v>0</v>
      </c>
      <c r="BO314" s="31">
        <f>Z314</f>
        <v>1007.9472121145097</v>
      </c>
      <c r="BP314" s="31">
        <f t="shared" si="14"/>
        <v>16</v>
      </c>
      <c r="BQ314" s="31">
        <f t="shared" si="14"/>
        <v>0.7120340712072314</v>
      </c>
      <c r="BR314" s="31">
        <f t="shared" si="14"/>
        <v>0.17163310965489723</v>
      </c>
      <c r="BS314" s="31">
        <f t="shared" si="14"/>
        <v>0.07269981997125521</v>
      </c>
      <c r="BT314" s="31">
        <f t="shared" si="14"/>
        <v>0.04500505271408481</v>
      </c>
      <c r="BU314" s="31">
        <f t="shared" si="14"/>
        <v>0</v>
      </c>
      <c r="BV314" s="31">
        <f>BJ314</f>
        <v>244.91643576450247</v>
      </c>
      <c r="BW314" s="31">
        <f>(0.309701-0.00000555238*(CC314+100)^1.1+0.0000000160444*(CC314+100)^2.2-0.00000000000568436*(CC314+100)^3.3+0.000000000000000856875*(CC314+100)^4.4-0.0000000000000000000482474*(CC314+100)^5.5)*CC314</f>
        <v>226.73476771341612</v>
      </c>
      <c r="BX314" s="31">
        <f>(0.356179-0.0000326182*(CC314+100)^0.8+0.00000129519*(CC314+100)^1.6-0.00000000148934*(CC314+100)^2.4-0.000000000000594678*(CC314+100)^3.2+0.00000000000000129158*(CC314+100)^4)*CC314</f>
        <v>275.11624010337056</v>
      </c>
      <c r="BY314" s="31">
        <f>(0.34584+0.0008688*(CC314+100)^0.82-0.00000109945*(CC314+100)^1.64+0.00000000054341*(CC314+100)^2.46)*CC314</f>
        <v>349.91203207044407</v>
      </c>
      <c r="BZ314" s="31">
        <f>(0.317715-0.000574557*(CC314+100)^0.7+0.0000164618*(CC314+100)^1.4-0.000000119525*(CC314+100)^2.1+0.000000000385185*(CC314+100)^2.8-0.000000000000467365*(CC314+100)^3.5)*CC314</f>
        <v>240.32764834659739</v>
      </c>
      <c r="CA314" s="31">
        <f>0.10364*CC314^1.12+0.26993*IF(CC314&lt;=1300,0,(CC314-1300)^0.9)</f>
        <v>159.62661705827102</v>
      </c>
      <c r="CB314" s="31">
        <f>BQ314*BW314+BR314*BX314+BS314*BY314+BT314*BZ314+0.001*BU314*CA314</f>
        <v>244.91643576450244</v>
      </c>
      <c r="CC314" s="31">
        <f>CC314+2.5*(BV314-CB314)</f>
        <v>701.5388093432629</v>
      </c>
    </row>
    <row r="315" spans="4:81" ht="15.75">
      <c r="D315" s="4">
        <v>5</v>
      </c>
      <c r="E315" s="31">
        <f t="shared" si="12"/>
        <v>16000</v>
      </c>
      <c r="F315" s="31">
        <f t="shared" si="12"/>
        <v>152914.56538212864</v>
      </c>
      <c r="G315" s="31">
        <f t="shared" si="12"/>
        <v>160</v>
      </c>
      <c r="H315" s="31">
        <f t="shared" si="12"/>
        <v>13.54</v>
      </c>
      <c r="I315" s="31">
        <f t="shared" si="12"/>
        <v>0.64</v>
      </c>
      <c r="J315" s="31">
        <f t="shared" si="12"/>
        <v>0.301</v>
      </c>
      <c r="K315" s="31">
        <f t="shared" si="12"/>
        <v>30.4</v>
      </c>
      <c r="L315" s="31">
        <f t="shared" si="12"/>
        <v>0.005</v>
      </c>
      <c r="M315" s="31">
        <f t="shared" si="12"/>
        <v>1</v>
      </c>
      <c r="N315" s="31">
        <f t="shared" si="12"/>
        <v>0.17163310965489723</v>
      </c>
      <c r="O315" s="31">
        <f t="shared" si="12"/>
        <v>0.24433292962615244</v>
      </c>
      <c r="P315" s="31">
        <f t="shared" si="12"/>
        <v>15.559873469387755</v>
      </c>
      <c r="Q315" s="31">
        <f t="shared" si="12"/>
        <v>0.1171</v>
      </c>
      <c r="S315" s="31">
        <f t="shared" si="13"/>
        <v>100</v>
      </c>
      <c r="T315" s="31">
        <f t="shared" si="13"/>
        <v>0.994</v>
      </c>
      <c r="U315" s="31">
        <f t="shared" si="13"/>
        <v>1.3130758017492712</v>
      </c>
      <c r="V315" s="31">
        <f t="shared" si="13"/>
        <v>0.02</v>
      </c>
      <c r="X315" s="31">
        <f>AC314</f>
        <v>244.91643576450247</v>
      </c>
      <c r="Y315" s="31">
        <f>Y308</f>
        <v>684.0812730222092</v>
      </c>
      <c r="Z315" s="31">
        <f>AE314</f>
        <v>974.5388093432629</v>
      </c>
      <c r="AA315" s="31">
        <f>AA308</f>
        <v>605.6377171438701</v>
      </c>
      <c r="AC315" s="31">
        <f>BJ315</f>
        <v>232.9664198615181</v>
      </c>
      <c r="AD315" s="31">
        <f>BA315</f>
        <v>703.4201858885713</v>
      </c>
      <c r="AE315" s="31">
        <f>BK315+273</f>
        <v>942.9133578071522</v>
      </c>
      <c r="AF315" s="31">
        <f>BD315</f>
        <v>625.4640141482591</v>
      </c>
      <c r="AH315" s="31">
        <f>Z315-AA315</f>
        <v>368.9010921993928</v>
      </c>
      <c r="AI315" s="31">
        <f>AA315+(L315+1/AN315)*AU315*E315/G315</f>
        <v>709.9127724514543</v>
      </c>
      <c r="AJ315" s="31">
        <f>Z315-273</f>
        <v>701.5388093432629</v>
      </c>
      <c r="AK315" s="31">
        <f>E315*P315/(3600*K315)*(AJ315+273)/273</f>
        <v>8.120568817550804</v>
      </c>
      <c r="AL315" s="31">
        <f>1.1077-0.002944*AJ315^0.7+0.67936*N315+0.0050854*AJ315^0.7*N315+0.0000089737*AJ315^1.4-2.4659*N315^2-0.000046377*AJ315^1.4*N315^2+23.168*AJ315^-0.1*N315^4</f>
        <v>1.0320554537040056</v>
      </c>
      <c r="AM315" s="31">
        <f>H315*AL315*AK315^I315</f>
        <v>53.389644146603956</v>
      </c>
      <c r="AN315" s="31">
        <f>Q315*F315^0.8</f>
        <v>1644.8109131775936</v>
      </c>
      <c r="AO315" s="31">
        <f>((0.78+1.6*N315)/(M315*O315*J315)^0.5-0.1)*(1-0.37*Z315/1000)</f>
        <v>2.4226555501618003</v>
      </c>
      <c r="AP315" s="31">
        <f>AO315*O315+BN315</f>
        <v>0.5919345280460908</v>
      </c>
      <c r="AQ315" s="31">
        <f>1-EXP(-AP315*M315*J315)</f>
        <v>0.16320176336200837</v>
      </c>
      <c r="AR315" s="31">
        <f>0.000000049*(0.82+1)/2*AQ315*Z315^3*(1-(AI315/Z315)^$L$10)/(1-AI315/Z315)</f>
        <v>16.875828439387206</v>
      </c>
      <c r="AS315" s="31">
        <f>AM315+AR315</f>
        <v>70.26547258599116</v>
      </c>
      <c r="AT315" s="31">
        <f>1/(1/AS315+L315+1/AN315)</f>
        <v>50.403953617764486</v>
      </c>
      <c r="AU315" s="31">
        <f>AT315*G315*AH315/E315</f>
        <v>185.94073540760854</v>
      </c>
      <c r="AW315" s="31">
        <f t="shared" si="9"/>
        <v>100</v>
      </c>
      <c r="AX315" s="31">
        <f t="shared" si="9"/>
        <v>0.994</v>
      </c>
      <c r="AY315" s="31">
        <f>Y315</f>
        <v>684.0812730222092</v>
      </c>
      <c r="AZ315" s="31">
        <f>AU315*AX315</f>
        <v>184.8250909951629</v>
      </c>
      <c r="BA315" s="31">
        <f>AY315+AZ315*E315/F315</f>
        <v>703.4201858885713</v>
      </c>
      <c r="BB315" s="31">
        <f>193.897+1.6984*AW315-0.0066353*AW315^2+0.0000121825*AW315^3</f>
        <v>309.56649999999996</v>
      </c>
      <c r="BC315" s="31">
        <f>3074.3-3.1077*AW315-2.3864*10^7*BA315^-1.3+22437.3*AW315*BA315^-1.3+0.0041697*AW315^2+4.8476*10^10*BA315^-2.6-177649*AW315^2*BA315^-2.6</f>
        <v>352.46401414825914</v>
      </c>
      <c r="BD315" s="31">
        <f>BC315+273</f>
        <v>625.4640141482591</v>
      </c>
      <c r="BF315" s="31">
        <f t="shared" si="10"/>
        <v>1.3130758017492712</v>
      </c>
      <c r="BG315" s="31">
        <f t="shared" si="10"/>
        <v>0.02</v>
      </c>
      <c r="BH315" s="31">
        <f>P315</f>
        <v>15.559873469387755</v>
      </c>
      <c r="BI315" s="31">
        <f>X315</f>
        <v>244.91643576450247</v>
      </c>
      <c r="BJ315" s="31">
        <f>BI315-AU315/BH315</f>
        <v>232.9664198615181</v>
      </c>
      <c r="BK315" s="31">
        <f>CC315</f>
        <v>669.9133578071522</v>
      </c>
      <c r="BM315" s="31">
        <f>7*(BP315*BO315)^-(2/3)</f>
        <v>0.011215499638077407</v>
      </c>
      <c r="BN315" s="31">
        <f>BM315*BU315</f>
        <v>0</v>
      </c>
      <c r="BO315" s="31">
        <f>Z315</f>
        <v>974.5388093432629</v>
      </c>
      <c r="BP315" s="31">
        <f t="shared" si="14"/>
        <v>16</v>
      </c>
      <c r="BQ315" s="31">
        <f t="shared" si="14"/>
        <v>0.7120340712072314</v>
      </c>
      <c r="BR315" s="31">
        <f t="shared" si="14"/>
        <v>0.17163310965489723</v>
      </c>
      <c r="BS315" s="31">
        <f t="shared" si="14"/>
        <v>0.07269981997125521</v>
      </c>
      <c r="BT315" s="31">
        <f t="shared" si="14"/>
        <v>0.04500505271408481</v>
      </c>
      <c r="BU315" s="31">
        <f t="shared" si="14"/>
        <v>0</v>
      </c>
      <c r="BV315" s="31">
        <f>BJ315</f>
        <v>232.9664198615181</v>
      </c>
      <c r="BW315" s="31">
        <f>(0.309701-0.00000555238*(CC315+100)^1.1+0.0000000160444*(CC315+100)^2.2-0.00000000000568436*(CC315+100)^3.3+0.000000000000000856875*(CC315+100)^4.4-0.0000000000000000000482474*(CC315+100)^5.5)*CC315</f>
        <v>215.85190249170805</v>
      </c>
      <c r="BX315" s="31">
        <f>(0.356179-0.0000326182*(CC315+100)^0.8+0.00000129519*(CC315+100)^1.6-0.00000000148934*(CC315+100)^2.4-0.000000000000594678*(CC315+100)^3.2+0.00000000000000129158*(CC315+100)^4)*CC315</f>
        <v>261.3604057507205</v>
      </c>
      <c r="BY315" s="31">
        <f>(0.34584+0.0008688*(CC315+100)^0.82-0.00000109945*(CC315+100)^1.64+0.00000000054341*(CC315+100)^2.46)*CC315</f>
        <v>331.8369537444092</v>
      </c>
      <c r="BZ315" s="31">
        <f>(0.317715-0.000574557*(CC315+100)^0.7+0.0000164618*(CC315+100)^1.4-0.000000119525*(CC315+100)^2.1+0.000000000385185*(CC315+100)^2.8-0.000000000000467365*(CC315+100)^3.5)*CC315</f>
        <v>228.6393272595903</v>
      </c>
      <c r="CA315" s="31">
        <f>0.10364*CC315^1.12+0.26993*IF(CC315&lt;=1300,0,(CC315-1300)^0.9)</f>
        <v>151.58920605476672</v>
      </c>
      <c r="CB315" s="31">
        <f>BQ315*BW315+BR315*BX315+BS315*BY315+BT315*BZ315+0.001*BU315*CA315</f>
        <v>232.9664198615181</v>
      </c>
      <c r="CC315" s="31">
        <f>CC315+2.5*(BV315-CB315)</f>
        <v>669.9133578071522</v>
      </c>
    </row>
    <row r="317" spans="69:72" ht="15.75">
      <c r="BQ317" s="18"/>
      <c r="BR317" s="18"/>
      <c r="BS317" s="18"/>
      <c r="BT317" s="18"/>
    </row>
    <row r="318" ht="15">
      <c r="G318" s="1" t="s">
        <v>1056</v>
      </c>
    </row>
    <row r="319" spans="5:73" ht="15.75">
      <c r="E319" s="1" t="s">
        <v>1042</v>
      </c>
      <c r="F319" s="1" t="s">
        <v>1043</v>
      </c>
      <c r="R319" s="1" t="s">
        <v>1044</v>
      </c>
      <c r="S319" s="12" t="s">
        <v>1045</v>
      </c>
      <c r="T319" s="13"/>
      <c r="U319" s="13"/>
      <c r="V319" s="13"/>
      <c r="W319" s="1" t="s">
        <v>1046</v>
      </c>
      <c r="X319" s="12" t="s">
        <v>1047</v>
      </c>
      <c r="Y319" s="13"/>
      <c r="Z319" s="13"/>
      <c r="AA319" s="13"/>
      <c r="BO319" s="1" t="s">
        <v>1109</v>
      </c>
      <c r="BP319" s="14" t="s">
        <v>1110</v>
      </c>
      <c r="BQ319" s="15"/>
      <c r="BR319" s="15"/>
      <c r="BS319" s="15"/>
      <c r="BT319" s="15"/>
      <c r="BU319" s="15"/>
    </row>
    <row r="320" spans="5:73" ht="15.75">
      <c r="E320" s="24" t="s">
        <v>835</v>
      </c>
      <c r="F320" s="24" t="s">
        <v>1014</v>
      </c>
      <c r="G320" s="24" t="s">
        <v>997</v>
      </c>
      <c r="H320" s="24" t="s">
        <v>989</v>
      </c>
      <c r="I320" s="24" t="s">
        <v>990</v>
      </c>
      <c r="J320" s="24" t="s">
        <v>815</v>
      </c>
      <c r="K320" s="24" t="s">
        <v>988</v>
      </c>
      <c r="L320" s="24" t="s">
        <v>995</v>
      </c>
      <c r="M320" s="24" t="s">
        <v>1048</v>
      </c>
      <c r="N320" s="24" t="s">
        <v>102</v>
      </c>
      <c r="O320" s="24" t="s">
        <v>647</v>
      </c>
      <c r="P320" s="24" t="s">
        <v>699</v>
      </c>
      <c r="Q320" s="24" t="s">
        <v>994</v>
      </c>
      <c r="S320" s="24" t="s">
        <v>109</v>
      </c>
      <c r="T320" s="24" t="s">
        <v>840</v>
      </c>
      <c r="U320" s="24" t="s">
        <v>706</v>
      </c>
      <c r="V320" s="24" t="s">
        <v>695</v>
      </c>
      <c r="X320" s="24" t="s">
        <v>1011</v>
      </c>
      <c r="Y320" s="24" t="s">
        <v>852</v>
      </c>
      <c r="Z320" s="24" t="s">
        <v>992</v>
      </c>
      <c r="AA320" s="24" t="s">
        <v>996</v>
      </c>
      <c r="BP320" s="14" t="s">
        <v>1600</v>
      </c>
      <c r="BQ320" s="14" t="s">
        <v>644</v>
      </c>
      <c r="BR320" s="14" t="s">
        <v>102</v>
      </c>
      <c r="BS320" s="14" t="s">
        <v>1540</v>
      </c>
      <c r="BT320" s="14" t="s">
        <v>646</v>
      </c>
      <c r="BU320" s="14" t="s">
        <v>1597</v>
      </c>
    </row>
    <row r="321" spans="5:73" ht="15.75">
      <c r="E321" s="4">
        <v>16000</v>
      </c>
      <c r="F321" s="4">
        <v>156737.42951668185</v>
      </c>
      <c r="G321" s="4">
        <v>190.4</v>
      </c>
      <c r="H321" s="4">
        <v>19.664</v>
      </c>
      <c r="I321" s="4">
        <v>0.6</v>
      </c>
      <c r="J321" s="4">
        <v>0.236</v>
      </c>
      <c r="K321" s="4">
        <v>19.8</v>
      </c>
      <c r="L321" s="4">
        <v>0.005</v>
      </c>
      <c r="M321" s="4">
        <v>1</v>
      </c>
      <c r="N321" s="4">
        <v>0.16884818671021506</v>
      </c>
      <c r="O321" s="4">
        <v>0.24021278776277238</v>
      </c>
      <c r="P321" s="4">
        <v>15.850995918367346</v>
      </c>
      <c r="Q321" s="4">
        <v>100000</v>
      </c>
      <c r="S321" s="4">
        <v>100</v>
      </c>
      <c r="T321" s="4">
        <v>0.994</v>
      </c>
      <c r="U321" s="4">
        <v>1.340408163265306</v>
      </c>
      <c r="V321" s="4">
        <v>0.02</v>
      </c>
      <c r="X321" s="4">
        <v>269.38623427374074</v>
      </c>
      <c r="Y321" s="4">
        <v>260</v>
      </c>
      <c r="Z321" s="4">
        <v>1040.1811822237664</v>
      </c>
      <c r="AA321" s="4">
        <v>519</v>
      </c>
      <c r="BP321" s="4">
        <v>16</v>
      </c>
      <c r="BQ321" s="4">
        <v>0.7134660084964726</v>
      </c>
      <c r="BR321" s="31">
        <f>N321</f>
        <v>0.16884818671021506</v>
      </c>
      <c r="BS321" s="4">
        <v>0.07136460105255732</v>
      </c>
      <c r="BT321" s="4">
        <v>0.04803538174643761</v>
      </c>
      <c r="BU321" s="4">
        <v>0</v>
      </c>
    </row>
    <row r="322" spans="28:65" ht="15.75">
      <c r="AB322" s="1" t="s">
        <v>1049</v>
      </c>
      <c r="AC322" s="12" t="s">
        <v>1050</v>
      </c>
      <c r="AD322" s="13"/>
      <c r="AE322" s="13"/>
      <c r="AF322" s="13"/>
      <c r="AI322" s="1" t="s">
        <v>987</v>
      </c>
      <c r="AW322" s="1" t="s">
        <v>1051</v>
      </c>
      <c r="BF322" s="1" t="s">
        <v>1009</v>
      </c>
      <c r="BM322" s="1" t="s">
        <v>1112</v>
      </c>
    </row>
    <row r="323" spans="4:81" ht="15.75">
      <c r="D323" s="5" t="s">
        <v>1052</v>
      </c>
      <c r="E323" s="3" t="s">
        <v>835</v>
      </c>
      <c r="F323" s="3" t="s">
        <v>1014</v>
      </c>
      <c r="G323" s="3" t="s">
        <v>997</v>
      </c>
      <c r="H323" s="3" t="s">
        <v>989</v>
      </c>
      <c r="I323" s="3" t="s">
        <v>990</v>
      </c>
      <c r="J323" s="3" t="s">
        <v>815</v>
      </c>
      <c r="K323" s="3" t="s">
        <v>988</v>
      </c>
      <c r="L323" s="3" t="s">
        <v>995</v>
      </c>
      <c r="M323" s="3" t="s">
        <v>1048</v>
      </c>
      <c r="N323" s="3" t="s">
        <v>102</v>
      </c>
      <c r="O323" s="3" t="s">
        <v>647</v>
      </c>
      <c r="P323" s="3" t="s">
        <v>699</v>
      </c>
      <c r="Q323" s="3" t="s">
        <v>994</v>
      </c>
      <c r="S323" s="3" t="s">
        <v>109</v>
      </c>
      <c r="T323" s="3" t="s">
        <v>840</v>
      </c>
      <c r="U323" s="3" t="s">
        <v>706</v>
      </c>
      <c r="V323" s="1" t="s">
        <v>695</v>
      </c>
      <c r="X323" s="3" t="s">
        <v>1011</v>
      </c>
      <c r="Y323" s="3" t="s">
        <v>852</v>
      </c>
      <c r="Z323" s="3" t="s">
        <v>992</v>
      </c>
      <c r="AA323" s="3" t="s">
        <v>996</v>
      </c>
      <c r="AC323" s="24" t="s">
        <v>1011</v>
      </c>
      <c r="AD323" s="24" t="s">
        <v>852</v>
      </c>
      <c r="AE323" s="24" t="s">
        <v>992</v>
      </c>
      <c r="AF323" s="24" t="s">
        <v>996</v>
      </c>
      <c r="AH323" s="3" t="s">
        <v>1003</v>
      </c>
      <c r="AI323" s="3" t="s">
        <v>991</v>
      </c>
      <c r="AJ323" s="3" t="s">
        <v>1053</v>
      </c>
      <c r="AK323" s="3" t="s">
        <v>209</v>
      </c>
      <c r="AL323" s="3" t="s">
        <v>206</v>
      </c>
      <c r="AM323" s="3" t="s">
        <v>993</v>
      </c>
      <c r="AN323" s="3" t="s">
        <v>994</v>
      </c>
      <c r="AO323" s="3" t="s">
        <v>820</v>
      </c>
      <c r="AP323" s="3" t="s">
        <v>998</v>
      </c>
      <c r="AQ323" s="3" t="s">
        <v>999</v>
      </c>
      <c r="AR323" s="3" t="s">
        <v>1000</v>
      </c>
      <c r="AS323" s="3" t="s">
        <v>1001</v>
      </c>
      <c r="AT323" s="3" t="s">
        <v>1002</v>
      </c>
      <c r="AU323" s="3" t="s">
        <v>1004</v>
      </c>
      <c r="AW323" s="3" t="s">
        <v>109</v>
      </c>
      <c r="AX323" s="3" t="s">
        <v>840</v>
      </c>
      <c r="AY323" s="3" t="s">
        <v>1015</v>
      </c>
      <c r="AZ323" s="3" t="s">
        <v>1007</v>
      </c>
      <c r="BA323" s="3" t="s">
        <v>852</v>
      </c>
      <c r="BB323" s="3" t="s">
        <v>865</v>
      </c>
      <c r="BC323" s="3" t="s">
        <v>544</v>
      </c>
      <c r="BD323" s="3" t="s">
        <v>996</v>
      </c>
      <c r="BF323" s="3" t="s">
        <v>706</v>
      </c>
      <c r="BG323" s="1" t="s">
        <v>695</v>
      </c>
      <c r="BH323" s="3" t="s">
        <v>699</v>
      </c>
      <c r="BI323" s="3" t="s">
        <v>1010</v>
      </c>
      <c r="BJ323" s="3" t="s">
        <v>1011</v>
      </c>
      <c r="BK323" s="3" t="s">
        <v>1053</v>
      </c>
      <c r="BL323" s="1" t="s">
        <v>1113</v>
      </c>
      <c r="BM323" s="3" t="s">
        <v>1604</v>
      </c>
      <c r="BN323" s="3" t="s">
        <v>1114</v>
      </c>
      <c r="BO323" s="14" t="s">
        <v>1115</v>
      </c>
      <c r="BP323" s="14" t="s">
        <v>1600</v>
      </c>
      <c r="BQ323" s="14" t="s">
        <v>644</v>
      </c>
      <c r="BR323" s="14" t="s">
        <v>102</v>
      </c>
      <c r="BS323" s="14" t="s">
        <v>1540</v>
      </c>
      <c r="BT323" s="14" t="s">
        <v>646</v>
      </c>
      <c r="BU323" s="14" t="s">
        <v>1597</v>
      </c>
      <c r="BV323" s="14" t="s">
        <v>369</v>
      </c>
      <c r="BW323" s="1" t="s">
        <v>88</v>
      </c>
      <c r="BX323" s="1" t="s">
        <v>306</v>
      </c>
      <c r="BY323" s="1" t="s">
        <v>1508</v>
      </c>
      <c r="BZ323" s="1" t="s">
        <v>387</v>
      </c>
      <c r="CA323" s="3" t="s">
        <v>397</v>
      </c>
      <c r="CB323" s="3" t="s">
        <v>404</v>
      </c>
      <c r="CC323" s="3" t="s">
        <v>544</v>
      </c>
    </row>
    <row r="324" spans="4:81" ht="15.75">
      <c r="D324" s="4">
        <v>1</v>
      </c>
      <c r="E324" s="31">
        <f aca="true" t="shared" si="15" ref="E324:Q324">E321</f>
        <v>16000</v>
      </c>
      <c r="F324" s="31">
        <f t="shared" si="15"/>
        <v>156737.42951668185</v>
      </c>
      <c r="G324" s="31">
        <f t="shared" si="15"/>
        <v>190.4</v>
      </c>
      <c r="H324" s="31">
        <f t="shared" si="15"/>
        <v>19.664</v>
      </c>
      <c r="I324" s="31">
        <f t="shared" si="15"/>
        <v>0.6</v>
      </c>
      <c r="J324" s="31">
        <f t="shared" si="15"/>
        <v>0.236</v>
      </c>
      <c r="K324" s="31">
        <f t="shared" si="15"/>
        <v>19.8</v>
      </c>
      <c r="L324" s="31">
        <f t="shared" si="15"/>
        <v>0.005</v>
      </c>
      <c r="M324" s="31">
        <f t="shared" si="15"/>
        <v>1</v>
      </c>
      <c r="N324" s="31">
        <f t="shared" si="15"/>
        <v>0.16884818671021506</v>
      </c>
      <c r="O324" s="31">
        <f t="shared" si="15"/>
        <v>0.24021278776277238</v>
      </c>
      <c r="P324" s="31">
        <f t="shared" si="15"/>
        <v>15.850995918367346</v>
      </c>
      <c r="Q324" s="31">
        <f t="shared" si="15"/>
        <v>100000</v>
      </c>
      <c r="S324" s="31">
        <f>S321</f>
        <v>100</v>
      </c>
      <c r="T324" s="31">
        <f>T321</f>
        <v>0.994</v>
      </c>
      <c r="U324" s="31">
        <f>U321</f>
        <v>1.340408163265306</v>
      </c>
      <c r="V324" s="31">
        <f>V321</f>
        <v>0.02</v>
      </c>
      <c r="X324" s="31">
        <f>X321</f>
        <v>269.38623427374074</v>
      </c>
      <c r="Y324" s="31">
        <f>AD325</f>
        <v>372.773910845556</v>
      </c>
      <c r="Z324" s="31">
        <f>Z321</f>
        <v>1040.1811822237664</v>
      </c>
      <c r="AA324" s="31">
        <f>AF325</f>
        <v>609.5751460871114</v>
      </c>
      <c r="AC324" s="31">
        <f>BJ324</f>
        <v>245.8943836904857</v>
      </c>
      <c r="AD324" s="31">
        <f>BA324</f>
        <v>410.5578672097929</v>
      </c>
      <c r="AE324" s="31">
        <f>BK324+273</f>
        <v>977.5957362339153</v>
      </c>
      <c r="AF324" s="31">
        <f>BD324</f>
        <v>632.1480905701064</v>
      </c>
      <c r="AH324" s="31">
        <f>Z324-AA324</f>
        <v>430.606036136655</v>
      </c>
      <c r="AI324" s="31">
        <f>AA324+(L324+1/AN324)*AU324*E324/G324</f>
        <v>766.3457201062253</v>
      </c>
      <c r="AJ324" s="31">
        <f>Z324-273</f>
        <v>767.1811822237664</v>
      </c>
      <c r="AK324" s="31">
        <f>E324*P324/(3600*K324)*(AJ324+273)/273</f>
        <v>13.556737644077273</v>
      </c>
      <c r="AL324" s="31">
        <f>1.723-0.00072545*AJ324-2.1255*N324^0.1+0.00081189*AJ324*N324^0.1+0.00000015846*AJ324^2+1.5631*N324^0.2-0.00000016954*AJ324^2*N324^0.2+257255*AJ324^-0.8*N324^10</f>
        <v>1.0272293445181935</v>
      </c>
      <c r="AM324" s="31">
        <f>H324*AL324*AK324^I324</f>
        <v>96.5233525069772</v>
      </c>
      <c r="AN324" s="31">
        <f>Q324</f>
        <v>100000</v>
      </c>
      <c r="AO324" s="31">
        <f>((0.78+1.6*N324)/(M324*O324*J324)^0.5-0.1)*(1-0.37*Z324/1000)</f>
        <v>2.651607991876204</v>
      </c>
      <c r="AP324" s="31">
        <f>AO324*O324+BN324</f>
        <v>0.6369501477826297</v>
      </c>
      <c r="AQ324" s="31">
        <f>1-EXP(-AP324*M324*J324)</f>
        <v>0.13956760815939506</v>
      </c>
      <c r="AR324" s="31">
        <f>0.000000049*(0.82+1)/2*AQ324*Z324^3*(1-(AI324/Z324)^$L$10)/(1-AI324/Z324)</f>
        <v>17.747938356404504</v>
      </c>
      <c r="AS324" s="31">
        <f>AM324+AR324</f>
        <v>114.27129086338171</v>
      </c>
      <c r="AT324" s="31">
        <f>1/(1/AS324+L324+1/AN324)</f>
        <v>72.66858593317897</v>
      </c>
      <c r="AU324" s="31">
        <f>AT324*G324*AH324/E324</f>
        <v>372.36922771007085</v>
      </c>
      <c r="AW324" s="31">
        <f aca="true" t="shared" si="16" ref="AW324:AX328">S324</f>
        <v>100</v>
      </c>
      <c r="AX324" s="31">
        <f t="shared" si="16"/>
        <v>0.994</v>
      </c>
      <c r="AY324" s="31">
        <f>Y324</f>
        <v>372.773910845556</v>
      </c>
      <c r="AZ324" s="31">
        <f>AU324*AX324</f>
        <v>370.13501234381044</v>
      </c>
      <c r="BA324" s="31">
        <f>AY324+AZ324*E324/F324</f>
        <v>410.5578672097929</v>
      </c>
      <c r="BB324" s="31">
        <f>193.897+1.6984*AW324-0.0066353*AW324^2+0.0000121825*AW324^3</f>
        <v>309.56649999999996</v>
      </c>
      <c r="BC324" s="31">
        <f>7.058+0.37694*BA324^1.2-0.000087402*BA324^2.4+5.2177*10^12*BA324^-4*AW324^-2</f>
        <v>359.14809057010643</v>
      </c>
      <c r="BD324" s="31">
        <f>BC324+273</f>
        <v>632.1480905701064</v>
      </c>
      <c r="BF324" s="31">
        <f aca="true" t="shared" si="17" ref="BF324:BG328">U324</f>
        <v>1.340408163265306</v>
      </c>
      <c r="BG324" s="31">
        <f t="shared" si="17"/>
        <v>0.02</v>
      </c>
      <c r="BH324" s="31">
        <f>P324</f>
        <v>15.850995918367346</v>
      </c>
      <c r="BI324" s="31">
        <f>X324</f>
        <v>269.38623427374074</v>
      </c>
      <c r="BJ324" s="31">
        <f>BI324-AU324/BH324</f>
        <v>245.8943836904857</v>
      </c>
      <c r="BK324" s="31">
        <f>CC324</f>
        <v>704.5957362339153</v>
      </c>
      <c r="BM324" s="31">
        <f>7*(BP324*BO324)^-(2/3)</f>
        <v>0.010738543722925521</v>
      </c>
      <c r="BN324" s="31">
        <f>BM324*BU324</f>
        <v>0</v>
      </c>
      <c r="BO324" s="31">
        <f>Z324</f>
        <v>1040.1811822237664</v>
      </c>
      <c r="BP324" s="31">
        <f aca="true" t="shared" si="18" ref="BP324:BU324">BP321</f>
        <v>16</v>
      </c>
      <c r="BQ324" s="31">
        <f t="shared" si="18"/>
        <v>0.7134660084964726</v>
      </c>
      <c r="BR324" s="31">
        <f t="shared" si="18"/>
        <v>0.16884818671021506</v>
      </c>
      <c r="BS324" s="31">
        <f t="shared" si="18"/>
        <v>0.07136460105255732</v>
      </c>
      <c r="BT324" s="31">
        <f t="shared" si="18"/>
        <v>0.04803538174643761</v>
      </c>
      <c r="BU324" s="31">
        <f t="shared" si="18"/>
        <v>0</v>
      </c>
      <c r="BV324" s="31">
        <f>BJ324</f>
        <v>245.8943836904857</v>
      </c>
      <c r="BW324" s="31">
        <f>(0.309701-0.00000555238*(CC324+100)^1.1+0.0000000160444*(CC324+100)^2.2-0.00000000000568436*(CC324+100)^3.3+0.000000000000000856875*(CC324+100)^4.4-0.0000000000000000000482474*(CC324+100)^5.5)*CC324</f>
        <v>227.79023502483466</v>
      </c>
      <c r="BX324" s="31">
        <f>(0.356179-0.0000326182*(CC324+100)^0.8+0.00000129519*(CC324+100)^1.6-0.00000000148934*(CC324+100)^2.4-0.000000000000594678*(CC324+100)^3.2+0.00000000000000129158*(CC324+100)^4)*CC324</f>
        <v>276.4531329514639</v>
      </c>
      <c r="BY324" s="31">
        <f>(0.34584+0.0008688*(CC324+100)^0.82-0.00000109945*(CC324+100)^1.64+0.00000000054341*(CC324+100)^2.46)*CC324</f>
        <v>351.6665426482406</v>
      </c>
      <c r="BZ324" s="31">
        <f>(0.317715-0.000574557*(CC324+100)^0.7+0.0000164618*(CC324+100)^1.4-0.000000119525*(CC324+100)^2.1+0.000000000385185*(CC324+100)^2.8-0.000000000000467365*(CC324+100)^3.5)*CC324</f>
        <v>241.46037321473386</v>
      </c>
      <c r="CA324" s="31">
        <f>0.10364*CC324^1.12+0.26993*IF(CC324&lt;=1300,0,(CC324-1300)^0.9)</f>
        <v>160.40585496139394</v>
      </c>
      <c r="CB324" s="31">
        <f>BQ324*BW324+BR324*BX324+BS324*BY324+BT324*BZ324+0.001*BU324*CA324</f>
        <v>245.8943836904857</v>
      </c>
      <c r="CC324" s="31">
        <f>CC324+2.5*(BV324-CB324)</f>
        <v>704.5957362339153</v>
      </c>
    </row>
    <row r="325" spans="4:81" ht="15.75">
      <c r="D325" s="4">
        <v>2</v>
      </c>
      <c r="E325" s="31">
        <f aca="true" t="shared" si="19" ref="E325:Q328">E324</f>
        <v>16000</v>
      </c>
      <c r="F325" s="31">
        <f t="shared" si="19"/>
        <v>156737.42951668185</v>
      </c>
      <c r="G325" s="31">
        <f t="shared" si="19"/>
        <v>190.4</v>
      </c>
      <c r="H325" s="31">
        <f t="shared" si="19"/>
        <v>19.664</v>
      </c>
      <c r="I325" s="31">
        <f t="shared" si="19"/>
        <v>0.6</v>
      </c>
      <c r="J325" s="31">
        <f t="shared" si="19"/>
        <v>0.236</v>
      </c>
      <c r="K325" s="31">
        <f t="shared" si="19"/>
        <v>19.8</v>
      </c>
      <c r="L325" s="31">
        <f t="shared" si="19"/>
        <v>0.005</v>
      </c>
      <c r="M325" s="31">
        <f t="shared" si="19"/>
        <v>1</v>
      </c>
      <c r="N325" s="31">
        <f t="shared" si="19"/>
        <v>0.16884818671021506</v>
      </c>
      <c r="O325" s="31">
        <f t="shared" si="19"/>
        <v>0.24021278776277238</v>
      </c>
      <c r="P325" s="31">
        <f t="shared" si="19"/>
        <v>15.850995918367346</v>
      </c>
      <c r="Q325" s="31">
        <f t="shared" si="19"/>
        <v>100000</v>
      </c>
      <c r="S325" s="31">
        <f aca="true" t="shared" si="20" ref="S325:V328">S324</f>
        <v>100</v>
      </c>
      <c r="T325" s="31">
        <f t="shared" si="20"/>
        <v>0.994</v>
      </c>
      <c r="U325" s="31">
        <f t="shared" si="20"/>
        <v>1.340408163265306</v>
      </c>
      <c r="V325" s="31">
        <f t="shared" si="20"/>
        <v>0.02</v>
      </c>
      <c r="X325" s="31">
        <f>AC324</f>
        <v>245.8943836904857</v>
      </c>
      <c r="Y325" s="31">
        <f>AD326</f>
        <v>339.67398525007457</v>
      </c>
      <c r="Z325" s="31">
        <f>AE324</f>
        <v>977.5957362339153</v>
      </c>
      <c r="AA325" s="31">
        <f>AF326</f>
        <v>587.0484820206286</v>
      </c>
      <c r="AC325" s="31">
        <f>BJ325</f>
        <v>225.31478903634044</v>
      </c>
      <c r="AD325" s="31">
        <f>BA325</f>
        <v>372.773910845556</v>
      </c>
      <c r="AE325" s="31">
        <f>BK325+273</f>
        <v>922.9772072421109</v>
      </c>
      <c r="AF325" s="31">
        <f>BD325</f>
        <v>609.5751460871114</v>
      </c>
      <c r="AH325" s="31">
        <f>Z325-AA325</f>
        <v>390.5472542132867</v>
      </c>
      <c r="AI325" s="31">
        <f>AA325+(L325+1/AN325)*AU325*E325/G325</f>
        <v>724.3844000904775</v>
      </c>
      <c r="AJ325" s="31">
        <f>Z325-273</f>
        <v>704.5957362339153</v>
      </c>
      <c r="AK325" s="31">
        <f>E325*P325/(3600*K325)*(AJ325+273)/273</f>
        <v>12.741058139273987</v>
      </c>
      <c r="AL325" s="31">
        <f>1.723-0.00072545*AJ325-2.1255*N325^0.1+0.00081189*AJ325*N325^0.1+0.00000015846*AJ325^2+1.5631*N325^0.2-0.00000016954*AJ325^2*N325^0.2+257255*AJ325^-0.8*N325^10</f>
        <v>1.026446919510148</v>
      </c>
      <c r="AM325" s="31">
        <f>H325*AL325*AK325^I325</f>
        <v>92.92480527601779</v>
      </c>
      <c r="AN325" s="31">
        <f>Q325</f>
        <v>100000</v>
      </c>
      <c r="AO325" s="31">
        <f>((0.78+1.6*N325)/(M325*O325*J325)^0.5-0.1)*(1-0.37*Z325/1000)</f>
        <v>2.7514274929879967</v>
      </c>
      <c r="AP325" s="31">
        <f>AO325*O325+BN325</f>
        <v>0.6609280684177825</v>
      </c>
      <c r="AQ325" s="31">
        <f>1-EXP(-AP325*M325*J325)</f>
        <v>0.1444228633566079</v>
      </c>
      <c r="AR325" s="31">
        <f>0.000000049*(0.82+1)/2*AQ325*Z325^3*(1-(AI325/Z325)^$L$10)/(1-AI325/Z325)</f>
        <v>15.334008542053084</v>
      </c>
      <c r="AS325" s="31">
        <f>AM325+AR325</f>
        <v>108.25881381807088</v>
      </c>
      <c r="AT325" s="31">
        <f>1/(1/AS325+L325+1/AN325)</f>
        <v>70.18960855683521</v>
      </c>
      <c r="AU325" s="31">
        <f>AT325*G325*AH325/E325</f>
        <v>326.20707086451114</v>
      </c>
      <c r="AW325" s="31">
        <f t="shared" si="16"/>
        <v>100</v>
      </c>
      <c r="AX325" s="31">
        <f t="shared" si="16"/>
        <v>0.994</v>
      </c>
      <c r="AY325" s="31">
        <f>Y325</f>
        <v>339.67398525007457</v>
      </c>
      <c r="AZ325" s="31">
        <f>AU325*AX325</f>
        <v>324.24982843932406</v>
      </c>
      <c r="BA325" s="31">
        <f>AY325+AZ325*E325/F325</f>
        <v>372.773910845556</v>
      </c>
      <c r="BB325" s="31">
        <f>193.897+1.6984*AW325-0.0066353*AW325^2+0.0000121825*AW325^3</f>
        <v>309.56649999999996</v>
      </c>
      <c r="BC325" s="31">
        <f>7.058+0.37694*BA325^1.2-0.000087402*BA325^2.4+5.2177*10^12*BA325^-4*AW325^-2</f>
        <v>336.5751460871114</v>
      </c>
      <c r="BD325" s="31">
        <f>BC325+273</f>
        <v>609.5751460871114</v>
      </c>
      <c r="BF325" s="31">
        <f t="shared" si="17"/>
        <v>1.340408163265306</v>
      </c>
      <c r="BG325" s="31">
        <f t="shared" si="17"/>
        <v>0.02</v>
      </c>
      <c r="BH325" s="31">
        <f>P325</f>
        <v>15.850995918367346</v>
      </c>
      <c r="BI325" s="31">
        <f>X325</f>
        <v>245.8943836904857</v>
      </c>
      <c r="BJ325" s="31">
        <f>BI325-AU325/BH325</f>
        <v>225.31478903634044</v>
      </c>
      <c r="BK325" s="31">
        <f>CC325</f>
        <v>649.9772072421109</v>
      </c>
      <c r="BM325" s="31">
        <f>7*(BP325*BO325)^-(2/3)</f>
        <v>0.011192106972353852</v>
      </c>
      <c r="BN325" s="31">
        <f>BM325*BU325</f>
        <v>0</v>
      </c>
      <c r="BO325" s="31">
        <f>Z325</f>
        <v>977.5957362339153</v>
      </c>
      <c r="BP325" s="31">
        <f aca="true" t="shared" si="21" ref="BP325:BU328">BP324</f>
        <v>16</v>
      </c>
      <c r="BQ325" s="31">
        <f t="shared" si="21"/>
        <v>0.7134660084964726</v>
      </c>
      <c r="BR325" s="31">
        <f t="shared" si="21"/>
        <v>0.16884818671021506</v>
      </c>
      <c r="BS325" s="31">
        <f t="shared" si="21"/>
        <v>0.07136460105255732</v>
      </c>
      <c r="BT325" s="31">
        <f t="shared" si="21"/>
        <v>0.04803538174643761</v>
      </c>
      <c r="BU325" s="31">
        <f t="shared" si="21"/>
        <v>0</v>
      </c>
      <c r="BV325" s="31">
        <f>BJ325</f>
        <v>225.31478903634044</v>
      </c>
      <c r="BW325" s="31">
        <f>(0.309701-0.00000555238*(CC325+100)^1.1+0.0000000160444*(CC325+100)^2.2-0.00000000000568436*(CC325+100)^3.3+0.000000000000000856875*(CC325+100)^4.4-0.0000000000000000000482474*(CC325+100)^5.5)*CC325</f>
        <v>209.02614180983554</v>
      </c>
      <c r="BX325" s="31">
        <f>(0.356179-0.0000326182*(CC325+100)^0.8+0.00000129519*(CC325+100)^1.6-0.00000000148934*(CC325+100)^2.4-0.000000000000594678*(CC325+100)^3.2+0.00000000000000129158*(CC325+100)^4)*CC325</f>
        <v>252.75936628300101</v>
      </c>
      <c r="BY325" s="31">
        <f>(0.34584+0.0008688*(CC325+100)^0.82-0.00000109945*(CC325+100)^1.64+0.00000000054341*(CC325+100)^2.46)*CC325</f>
        <v>320.5163794182104</v>
      </c>
      <c r="BZ325" s="31">
        <f>(0.317715-0.000574557*(CC325+100)^0.7+0.0000164618*(CC325+100)^1.4-0.000000119525*(CC325+100)^2.1+0.000000000385185*(CC325+100)^2.8-0.000000000000467365*(CC325+100)^3.5)*CC325</f>
        <v>221.30057808376498</v>
      </c>
      <c r="CA325" s="31">
        <f>0.10364*CC325^1.12+0.26993*IF(CC325&lt;=1300,0,(CC325-1300)^0.9)</f>
        <v>146.54577672837704</v>
      </c>
      <c r="CB325" s="31">
        <f>BQ325*BW325+BR325*BX325+BS325*BY325+BT325*BZ325+0.001*BU325*CA325</f>
        <v>225.31478903634044</v>
      </c>
      <c r="CC325" s="31">
        <f>CC325+2.5*(BV325-CB325)</f>
        <v>649.9772072421109</v>
      </c>
    </row>
    <row r="326" spans="4:81" ht="15.75">
      <c r="D326" s="4">
        <v>3</v>
      </c>
      <c r="E326" s="31">
        <f t="shared" si="19"/>
        <v>16000</v>
      </c>
      <c r="F326" s="31">
        <f t="shared" si="19"/>
        <v>156737.42951668185</v>
      </c>
      <c r="G326" s="31">
        <f t="shared" si="19"/>
        <v>190.4</v>
      </c>
      <c r="H326" s="31">
        <f t="shared" si="19"/>
        <v>19.664</v>
      </c>
      <c r="I326" s="31">
        <f t="shared" si="19"/>
        <v>0.6</v>
      </c>
      <c r="J326" s="31">
        <f t="shared" si="19"/>
        <v>0.236</v>
      </c>
      <c r="K326" s="31">
        <f t="shared" si="19"/>
        <v>19.8</v>
      </c>
      <c r="L326" s="31">
        <f t="shared" si="19"/>
        <v>0.005</v>
      </c>
      <c r="M326" s="31">
        <f t="shared" si="19"/>
        <v>1</v>
      </c>
      <c r="N326" s="31">
        <f t="shared" si="19"/>
        <v>0.16884818671021506</v>
      </c>
      <c r="O326" s="31">
        <f t="shared" si="19"/>
        <v>0.24021278776277238</v>
      </c>
      <c r="P326" s="31">
        <f t="shared" si="19"/>
        <v>15.850995918367346</v>
      </c>
      <c r="Q326" s="31">
        <f t="shared" si="19"/>
        <v>100000</v>
      </c>
      <c r="S326" s="31">
        <f t="shared" si="20"/>
        <v>100</v>
      </c>
      <c r="T326" s="31">
        <f t="shared" si="20"/>
        <v>0.994</v>
      </c>
      <c r="U326" s="31">
        <f t="shared" si="20"/>
        <v>1.340408163265306</v>
      </c>
      <c r="V326" s="31">
        <f t="shared" si="20"/>
        <v>0.02</v>
      </c>
      <c r="X326" s="31">
        <f>AC325</f>
        <v>225.31478903634044</v>
      </c>
      <c r="Y326" s="31">
        <f>AD327</f>
        <v>310.29759219480036</v>
      </c>
      <c r="Z326" s="31">
        <f>AE325</f>
        <v>922.9772072421109</v>
      </c>
      <c r="AA326" s="31">
        <f>AF327</f>
        <v>565.0680078391299</v>
      </c>
      <c r="AC326" s="31">
        <f>BJ326</f>
        <v>207.05026878131847</v>
      </c>
      <c r="AD326" s="31">
        <f>BA326</f>
        <v>339.67398525007457</v>
      </c>
      <c r="AE326" s="31">
        <f>BK326+273</f>
        <v>873.9274543335335</v>
      </c>
      <c r="AF326" s="31">
        <f>BD326</f>
        <v>587.0484820206286</v>
      </c>
      <c r="AH326" s="31">
        <f>Z326-AA326</f>
        <v>357.909199402981</v>
      </c>
      <c r="AI326" s="31">
        <f>AA326+(L326+1/AN326)*AU326*E326/G326</f>
        <v>686.9545026648935</v>
      </c>
      <c r="AJ326" s="31">
        <f>Z326-273</f>
        <v>649.9772072421109</v>
      </c>
      <c r="AK326" s="31">
        <f>E326*P326/(3600*K326)*(AJ326+273)/273</f>
        <v>12.029211894887657</v>
      </c>
      <c r="AL326" s="31">
        <f>1.723-0.00072545*AJ326-2.1255*N326^0.1+0.00081189*AJ326*N326^0.1+0.00000015846*AJ326^2+1.5631*N326^0.2-0.00000016954*AJ326^2*N326^0.2+257255*AJ326^-0.8*N326^10</f>
        <v>1.0260182931059232</v>
      </c>
      <c r="AM326" s="31">
        <f>H326*AL326*AK326^I326</f>
        <v>89.73653054992366</v>
      </c>
      <c r="AN326" s="31">
        <f>Q326</f>
        <v>100000</v>
      </c>
      <c r="AO326" s="31">
        <f>((0.78+1.6*N326)/(M326*O326*J326)^0.5-0.1)*(1-0.37*Z326/1000)</f>
        <v>2.838540306984816</v>
      </c>
      <c r="AP326" s="31">
        <f>AO326*O326+BN326</f>
        <v>0.6818536803178183</v>
      </c>
      <c r="AQ326" s="31">
        <f>1-EXP(-AP326*M326*J326)</f>
        <v>0.14863766762876576</v>
      </c>
      <c r="AR326" s="31">
        <f>0.000000049*(0.82+1)/2*AQ326*Z326^3*(1-(AI326/Z326)^$L$10)/(1-AI326/Z326)</f>
        <v>13.34101754176763</v>
      </c>
      <c r="AS326" s="31">
        <f>AM326+AR326</f>
        <v>103.07754809169128</v>
      </c>
      <c r="AT326" s="31">
        <f>1/(1/AS326+L326+1/AN326)</f>
        <v>67.97434020240645</v>
      </c>
      <c r="AU326" s="31">
        <f>AT326*G326*AH326/E326</f>
        <v>289.510836013291</v>
      </c>
      <c r="AW326" s="31">
        <f t="shared" si="16"/>
        <v>100</v>
      </c>
      <c r="AX326" s="31">
        <f t="shared" si="16"/>
        <v>0.994</v>
      </c>
      <c r="AY326" s="31">
        <f>Y326</f>
        <v>310.29759219480036</v>
      </c>
      <c r="AZ326" s="31">
        <f>AU326*AX326</f>
        <v>287.7737709972113</v>
      </c>
      <c r="BA326" s="31">
        <f>AY326+AZ326*E326/F326</f>
        <v>339.67398525007457</v>
      </c>
      <c r="BB326" s="31">
        <f>193.897+1.6984*AW326-0.0066353*AW326^2+0.0000121825*AW326^3</f>
        <v>309.56649999999996</v>
      </c>
      <c r="BC326" s="31">
        <f>7.058+0.37694*BA326^1.2-0.000087402*BA326^2.4+5.2177*10^12*BA326^-4*AW326^-2</f>
        <v>314.0484820206287</v>
      </c>
      <c r="BD326" s="31">
        <f>BC326+273</f>
        <v>587.0484820206286</v>
      </c>
      <c r="BF326" s="31">
        <f t="shared" si="17"/>
        <v>1.340408163265306</v>
      </c>
      <c r="BG326" s="31">
        <f t="shared" si="17"/>
        <v>0.02</v>
      </c>
      <c r="BH326" s="31">
        <f>P326</f>
        <v>15.850995918367346</v>
      </c>
      <c r="BI326" s="31">
        <f>X326</f>
        <v>225.31478903634044</v>
      </c>
      <c r="BJ326" s="31">
        <f>BI326-AU326/BH326</f>
        <v>207.05026878131847</v>
      </c>
      <c r="BK326" s="31">
        <f>CC326</f>
        <v>600.9274543335335</v>
      </c>
      <c r="BM326" s="31">
        <f>7*(BP326*BO326)^-(2/3)</f>
        <v>0.011629402466220741</v>
      </c>
      <c r="BN326" s="31">
        <f>BM326*BU326</f>
        <v>0</v>
      </c>
      <c r="BO326" s="31">
        <f>Z326</f>
        <v>922.9772072421109</v>
      </c>
      <c r="BP326" s="31">
        <f t="shared" si="21"/>
        <v>16</v>
      </c>
      <c r="BQ326" s="31">
        <f t="shared" si="21"/>
        <v>0.7134660084964726</v>
      </c>
      <c r="BR326" s="31">
        <f t="shared" si="21"/>
        <v>0.16884818671021506</v>
      </c>
      <c r="BS326" s="31">
        <f t="shared" si="21"/>
        <v>0.07136460105255732</v>
      </c>
      <c r="BT326" s="31">
        <f t="shared" si="21"/>
        <v>0.04803538174643761</v>
      </c>
      <c r="BU326" s="31">
        <f t="shared" si="21"/>
        <v>0</v>
      </c>
      <c r="BV326" s="31">
        <f>BJ326</f>
        <v>207.05026878131847</v>
      </c>
      <c r="BW326" s="31">
        <f>(0.309701-0.00000555238*(CC326+100)^1.1+0.0000000160444*(CC326+100)^2.2-0.00000000000568436*(CC326+100)^3.3+0.000000000000000856875*(CC326+100)^4.4-0.0000000000000000000482474*(CC326+100)^5.5)*CC326</f>
        <v>192.34856424572826</v>
      </c>
      <c r="BX326" s="31">
        <f>(0.356179-0.0000326182*(CC326+100)^0.8+0.00000129519*(CC326+100)^1.6-0.00000000148934*(CC326+100)^2.4-0.000000000000594678*(CC326+100)^3.2+0.00000000000000129158*(CC326+100)^4)*CC326</f>
        <v>231.83002639552052</v>
      </c>
      <c r="BY326" s="31">
        <f>(0.34584+0.0008688*(CC326+100)^0.82-0.00000109945*(CC326+100)^1.64+0.00000000054341*(CC326+100)^2.46)*CC326</f>
        <v>292.92036317447025</v>
      </c>
      <c r="BZ326" s="31">
        <f>(0.317715-0.000574557*(CC326+100)^0.7+0.0000164618*(CC326+100)^1.4-0.000000119525*(CC326+100)^2.1+0.000000000385185*(CC326+100)^2.8-0.000000000000467365*(CC326+100)^3.5)*CC326</f>
        <v>203.34764945705072</v>
      </c>
      <c r="CA326" s="31">
        <f>0.10364*CC326^1.12+0.26993*IF(CC326&lt;=1300,0,(CC326-1300)^0.9)</f>
        <v>134.21717567123002</v>
      </c>
      <c r="CB326" s="31">
        <f>BQ326*BW326+BR326*BX326+BS326*BY326+BT326*BZ326+0.001*BU326*CA326</f>
        <v>207.05026878131847</v>
      </c>
      <c r="CC326" s="31">
        <f>CC326+2.5*(BV326-CB326)</f>
        <v>600.9274543335335</v>
      </c>
    </row>
    <row r="327" spans="4:81" ht="15.75">
      <c r="D327" s="4">
        <v>4</v>
      </c>
      <c r="E327" s="31">
        <f t="shared" si="19"/>
        <v>16000</v>
      </c>
      <c r="F327" s="31">
        <f t="shared" si="19"/>
        <v>156737.42951668185</v>
      </c>
      <c r="G327" s="31">
        <f t="shared" si="19"/>
        <v>190.4</v>
      </c>
      <c r="H327" s="31">
        <f t="shared" si="19"/>
        <v>19.664</v>
      </c>
      <c r="I327" s="31">
        <f t="shared" si="19"/>
        <v>0.6</v>
      </c>
      <c r="J327" s="31">
        <f t="shared" si="19"/>
        <v>0.236</v>
      </c>
      <c r="K327" s="31">
        <f t="shared" si="19"/>
        <v>19.8</v>
      </c>
      <c r="L327" s="31">
        <f t="shared" si="19"/>
        <v>0.005</v>
      </c>
      <c r="M327" s="31">
        <f t="shared" si="19"/>
        <v>1</v>
      </c>
      <c r="N327" s="31">
        <f t="shared" si="19"/>
        <v>0.16884818671021506</v>
      </c>
      <c r="O327" s="31">
        <f t="shared" si="19"/>
        <v>0.24021278776277238</v>
      </c>
      <c r="P327" s="31">
        <f t="shared" si="19"/>
        <v>15.850995918367346</v>
      </c>
      <c r="Q327" s="31">
        <f t="shared" si="19"/>
        <v>100000</v>
      </c>
      <c r="S327" s="31">
        <f t="shared" si="20"/>
        <v>100</v>
      </c>
      <c r="T327" s="31">
        <f t="shared" si="20"/>
        <v>0.994</v>
      </c>
      <c r="U327" s="31">
        <f t="shared" si="20"/>
        <v>1.340408163265306</v>
      </c>
      <c r="V327" s="31">
        <f t="shared" si="20"/>
        <v>0.02</v>
      </c>
      <c r="X327" s="31">
        <f>AC326</f>
        <v>207.05026878131847</v>
      </c>
      <c r="Y327" s="31">
        <f>AD328</f>
        <v>284.02178337777667</v>
      </c>
      <c r="Z327" s="31">
        <f>AE326</f>
        <v>873.9274543335335</v>
      </c>
      <c r="AA327" s="31">
        <f>AF328</f>
        <v>543.9530337279703</v>
      </c>
      <c r="AC327" s="31">
        <f>BJ327</f>
        <v>190.71351016522107</v>
      </c>
      <c r="AD327" s="31">
        <f>BA327</f>
        <v>310.29759219480036</v>
      </c>
      <c r="AE327" s="31">
        <f>BK327+273</f>
        <v>829.5677572542727</v>
      </c>
      <c r="AF327" s="31">
        <f>BD327</f>
        <v>565.0680078391299</v>
      </c>
      <c r="AH327" s="31">
        <f>Z327-AA327</f>
        <v>329.9744206055633</v>
      </c>
      <c r="AI327" s="31">
        <f>AA327+(L327+1/AN327)*AU327*E327/G327</f>
        <v>652.9747992453646</v>
      </c>
      <c r="AJ327" s="31">
        <f>Z327-273</f>
        <v>600.9274543335335</v>
      </c>
      <c r="AK327" s="31">
        <f>E327*P327/(3600*K327)*(AJ327+273)/273</f>
        <v>11.389943810584482</v>
      </c>
      <c r="AL327" s="31">
        <f>1.723-0.00072545*AJ327-2.1255*N327^0.1+0.00081189*AJ327*N327^0.1+0.00000015846*AJ327^2+1.5631*N327^0.2-0.00000016954*AJ327^2*N327^0.2+257255*AJ327^-0.8*N327^10</f>
        <v>1.025835333673888</v>
      </c>
      <c r="AM327" s="31">
        <f>H327*AL327*AK327^I327</f>
        <v>86.82853394496686</v>
      </c>
      <c r="AN327" s="31">
        <f>Q327</f>
        <v>100000</v>
      </c>
      <c r="AO327" s="31">
        <f>((0.78+1.6*N327)/(M327*O327*J327)^0.5-0.1)*(1-0.37*Z327/1000)</f>
        <v>2.9167713044244574</v>
      </c>
      <c r="AP327" s="31">
        <f>AO327*O327+BN327</f>
        <v>0.700645766302257</v>
      </c>
      <c r="AQ327" s="31">
        <f>1-EXP(-AP327*M327*J327)</f>
        <v>0.15240504172962147</v>
      </c>
      <c r="AR327" s="31">
        <f>0.000000049*(0.82+1)/2*AQ327*Z327^3*(1-(AI327/Z327)^$L$10)/(1-AI327/Z327)</f>
        <v>11.657865469035391</v>
      </c>
      <c r="AS327" s="31">
        <f>AM327+AR327</f>
        <v>98.48639941400225</v>
      </c>
      <c r="AT327" s="31">
        <f>1/(1/AS327+L327+1/AN327)</f>
        <v>65.94702522899375</v>
      </c>
      <c r="AU327" s="31">
        <f>AT327*G327*AH327/E327</f>
        <v>258.9538941431124</v>
      </c>
      <c r="AW327" s="31">
        <f t="shared" si="16"/>
        <v>100</v>
      </c>
      <c r="AX327" s="31">
        <f t="shared" si="16"/>
        <v>0.994</v>
      </c>
      <c r="AY327" s="31">
        <f>Y327</f>
        <v>284.02178337777667</v>
      </c>
      <c r="AZ327" s="31">
        <f>AU327*AX327</f>
        <v>257.4001707782537</v>
      </c>
      <c r="BA327" s="31">
        <f>AY327+AZ327*E327/F327</f>
        <v>310.29759219480036</v>
      </c>
      <c r="BB327" s="31">
        <f>193.897+1.6984*AW327-0.0066353*AW327^2+0.0000121825*AW327^3</f>
        <v>309.56649999999996</v>
      </c>
      <c r="BC327" s="31">
        <f>7.058+0.37694*BA327^1.2-0.000087402*BA327^2.4+5.2177*10^12*BA327^-4*AW327^-2</f>
        <v>292.0680078391299</v>
      </c>
      <c r="BD327" s="31">
        <f>BC327+273</f>
        <v>565.0680078391299</v>
      </c>
      <c r="BF327" s="31">
        <f t="shared" si="17"/>
        <v>1.340408163265306</v>
      </c>
      <c r="BG327" s="31">
        <f t="shared" si="17"/>
        <v>0.02</v>
      </c>
      <c r="BH327" s="31">
        <f>P327</f>
        <v>15.850995918367346</v>
      </c>
      <c r="BI327" s="31">
        <f>X327</f>
        <v>207.05026878131847</v>
      </c>
      <c r="BJ327" s="31">
        <f>BI327-AU327/BH327</f>
        <v>190.71351016522107</v>
      </c>
      <c r="BK327" s="31">
        <f>CC327</f>
        <v>556.5677572542727</v>
      </c>
      <c r="BM327" s="31">
        <f>7*(BP327*BO327)^-(2/3)</f>
        <v>0.012060568962833891</v>
      </c>
      <c r="BN327" s="31">
        <f>BM327*BU327</f>
        <v>0</v>
      </c>
      <c r="BO327" s="31">
        <f>Z327</f>
        <v>873.9274543335335</v>
      </c>
      <c r="BP327" s="31">
        <f t="shared" si="21"/>
        <v>16</v>
      </c>
      <c r="BQ327" s="31">
        <f t="shared" si="21"/>
        <v>0.7134660084964726</v>
      </c>
      <c r="BR327" s="31">
        <f t="shared" si="21"/>
        <v>0.16884818671021506</v>
      </c>
      <c r="BS327" s="31">
        <f t="shared" si="21"/>
        <v>0.07136460105255732</v>
      </c>
      <c r="BT327" s="31">
        <f t="shared" si="21"/>
        <v>0.04803538174643761</v>
      </c>
      <c r="BU327" s="31">
        <f t="shared" si="21"/>
        <v>0</v>
      </c>
      <c r="BV327" s="31">
        <f>BJ327</f>
        <v>190.71351016522107</v>
      </c>
      <c r="BW327" s="31">
        <f>(0.309701-0.00000555238*(CC327+100)^1.1+0.0000000160444*(CC327+100)^2.2-0.00000000000568436*(CC327+100)^3.3+0.000000000000000856875*(CC327+100)^4.4-0.0000000000000000000482474*(CC327+100)^5.5)*CC327</f>
        <v>177.4100226996519</v>
      </c>
      <c r="BX327" s="31">
        <f>(0.356179-0.0000326182*(CC327+100)^0.8+0.00000129519*(CC327+100)^1.6-0.00000000148934*(CC327+100)^2.4-0.000000000000594678*(CC327+100)^3.2+0.00000000000000129158*(CC327+100)^4)*CC327</f>
        <v>213.18607702509692</v>
      </c>
      <c r="BY327" s="31">
        <f>(0.34584+0.0008688*(CC327+100)^0.82-0.00000109945*(CC327+100)^1.64+0.00000000054341*(CC327+100)^2.46)*CC327</f>
        <v>268.2976449734032</v>
      </c>
      <c r="BZ327" s="31">
        <f>(0.317715-0.000574557*(CC327+100)^0.7+0.0000164618*(CC327+100)^1.4-0.000000119525*(CC327+100)^2.1+0.000000000385185*(CC327+100)^2.8-0.000000000000467365*(CC327+100)^3.5)*CC327</f>
        <v>187.24640340095667</v>
      </c>
      <c r="CA327" s="31">
        <f>0.10364*CC327^1.12+0.26993*IF(CC327&lt;=1300,0,(CC327-1300)^0.9)</f>
        <v>123.17075767763822</v>
      </c>
      <c r="CB327" s="31">
        <f>BQ327*BW327+BR327*BX327+BS327*BY327+BT327*BZ327+0.001*BU327*CA327</f>
        <v>190.71351016522107</v>
      </c>
      <c r="CC327" s="31">
        <f>CC327+2.5*(BV327-CB327)</f>
        <v>556.5677572542727</v>
      </c>
    </row>
    <row r="328" spans="4:81" ht="15.75">
      <c r="D328" s="4">
        <v>5</v>
      </c>
      <c r="E328" s="31">
        <f t="shared" si="19"/>
        <v>16000</v>
      </c>
      <c r="F328" s="31">
        <f t="shared" si="19"/>
        <v>156737.42951668185</v>
      </c>
      <c r="G328" s="31">
        <f t="shared" si="19"/>
        <v>190.4</v>
      </c>
      <c r="H328" s="31">
        <f t="shared" si="19"/>
        <v>19.664</v>
      </c>
      <c r="I328" s="31">
        <f t="shared" si="19"/>
        <v>0.6</v>
      </c>
      <c r="J328" s="31">
        <f t="shared" si="19"/>
        <v>0.236</v>
      </c>
      <c r="K328" s="31">
        <f t="shared" si="19"/>
        <v>19.8</v>
      </c>
      <c r="L328" s="31">
        <f t="shared" si="19"/>
        <v>0.005</v>
      </c>
      <c r="M328" s="31">
        <f t="shared" si="19"/>
        <v>1</v>
      </c>
      <c r="N328" s="31">
        <f t="shared" si="19"/>
        <v>0.16884818671021506</v>
      </c>
      <c r="O328" s="31">
        <f t="shared" si="19"/>
        <v>0.24021278776277238</v>
      </c>
      <c r="P328" s="31">
        <f t="shared" si="19"/>
        <v>15.850995918367346</v>
      </c>
      <c r="Q328" s="31">
        <f t="shared" si="19"/>
        <v>100000</v>
      </c>
      <c r="S328" s="31">
        <f t="shared" si="20"/>
        <v>100</v>
      </c>
      <c r="T328" s="31">
        <f t="shared" si="20"/>
        <v>0.994</v>
      </c>
      <c r="U328" s="31">
        <f t="shared" si="20"/>
        <v>1.340408163265306</v>
      </c>
      <c r="V328" s="31">
        <f t="shared" si="20"/>
        <v>0.02</v>
      </c>
      <c r="X328" s="31">
        <f>AC327</f>
        <v>190.71351016522107</v>
      </c>
      <c r="Y328" s="31">
        <f>Y321</f>
        <v>260</v>
      </c>
      <c r="Z328" s="31">
        <f>AE327</f>
        <v>829.5677572542727</v>
      </c>
      <c r="AA328" s="31">
        <f>AA321</f>
        <v>519</v>
      </c>
      <c r="AC328" s="31">
        <f>BJ328</f>
        <v>175.77817252047979</v>
      </c>
      <c r="AD328" s="31">
        <f>BA328</f>
        <v>284.02178337777667</v>
      </c>
      <c r="AE328" s="31">
        <f>BK328+273</f>
        <v>788.5906467049683</v>
      </c>
      <c r="AF328" s="31">
        <f>BD328</f>
        <v>543.9530337279703</v>
      </c>
      <c r="AH328" s="31">
        <f>Z328-AA328</f>
        <v>310.5677572542727</v>
      </c>
      <c r="AI328" s="31">
        <f>AA328+(L328+1/AN328)*AU328*E328/G328</f>
        <v>618.669519327027</v>
      </c>
      <c r="AJ328" s="31">
        <f>Z328-273</f>
        <v>556.5677572542727</v>
      </c>
      <c r="AK328" s="31">
        <f>E328*P328/(3600*K328)*(AJ328+273)/273</f>
        <v>10.811801477737594</v>
      </c>
      <c r="AL328" s="31">
        <f>1.723-0.00072545*AJ328-2.1255*N328^0.1+0.00081189*AJ328*N328^0.1+0.00000015846*AJ328^2+1.5631*N328^0.2-0.00000016954*AJ328^2*N328^0.2+257255*AJ328^-0.8*N328^10</f>
        <v>1.0258344943222888</v>
      </c>
      <c r="AM328" s="31">
        <f>H328*AL328*AK328^I328</f>
        <v>84.1565651779673</v>
      </c>
      <c r="AN328" s="31">
        <f>Q328</f>
        <v>100000</v>
      </c>
      <c r="AO328" s="31">
        <f>((0.78+1.6*N328)/(M328*O328*J328)^0.5-0.1)*(1-0.37*Z328/1000)</f>
        <v>2.987521983945701</v>
      </c>
      <c r="AP328" s="31">
        <f>AO328*O328+BN328</f>
        <v>0.7176409842661654</v>
      </c>
      <c r="AQ328" s="31">
        <f>1-EXP(-AP328*M328*J328)</f>
        <v>0.15579782757773186</v>
      </c>
      <c r="AR328" s="31">
        <f>0.000000049*(0.82+1)/2*AQ328*Z328^3*(1-(AI328/Z328)^$L$10)/(1-AI328/Z328)</f>
        <v>10.17383715095163</v>
      </c>
      <c r="AS328" s="31">
        <f>AM328+AR328</f>
        <v>94.33040232891892</v>
      </c>
      <c r="AT328" s="31">
        <f>1/(1/AS328+L328+1/AN328)</f>
        <v>64.05724731382574</v>
      </c>
      <c r="AU328" s="31">
        <f>AT328*G328*AH328/E328</f>
        <v>236.73997604623202</v>
      </c>
      <c r="AW328" s="31">
        <f t="shared" si="16"/>
        <v>100</v>
      </c>
      <c r="AX328" s="31">
        <f t="shared" si="16"/>
        <v>0.994</v>
      </c>
      <c r="AY328" s="31">
        <f>Y328</f>
        <v>260</v>
      </c>
      <c r="AZ328" s="31">
        <f>AU328*AX328</f>
        <v>235.31953618995462</v>
      </c>
      <c r="BA328" s="31">
        <f>AY328+AZ328*E328/F328</f>
        <v>284.02178337777667</v>
      </c>
      <c r="BB328" s="31">
        <f>193.897+1.6984*AW328-0.0066353*AW328^2+0.0000121825*AW328^3</f>
        <v>309.56649999999996</v>
      </c>
      <c r="BC328" s="31">
        <f>7.058+0.37694*BA328^1.2-0.000087402*BA328^2.4+5.2177*10^12*BA328^-4*AW328^-2</f>
        <v>270.9530337279702</v>
      </c>
      <c r="BD328" s="31">
        <f>BC328+273</f>
        <v>543.9530337279703</v>
      </c>
      <c r="BF328" s="31">
        <f t="shared" si="17"/>
        <v>1.340408163265306</v>
      </c>
      <c r="BG328" s="31">
        <f t="shared" si="17"/>
        <v>0.02</v>
      </c>
      <c r="BH328" s="31">
        <f>P328</f>
        <v>15.850995918367346</v>
      </c>
      <c r="BI328" s="31">
        <f>X328</f>
        <v>190.71351016522107</v>
      </c>
      <c r="BJ328" s="31">
        <f>BI328-AU328/BH328</f>
        <v>175.77817252047979</v>
      </c>
      <c r="BK328" s="31">
        <f>CC328</f>
        <v>515.5906467049683</v>
      </c>
      <c r="BM328" s="31">
        <f>7*(BP328*BO328)^-(2/3)</f>
        <v>0.012486770860397576</v>
      </c>
      <c r="BN328" s="31">
        <f>BM328*BU328</f>
        <v>0</v>
      </c>
      <c r="BO328" s="31">
        <f>Z328</f>
        <v>829.5677572542727</v>
      </c>
      <c r="BP328" s="31">
        <f t="shared" si="21"/>
        <v>16</v>
      </c>
      <c r="BQ328" s="31">
        <f t="shared" si="21"/>
        <v>0.7134660084964726</v>
      </c>
      <c r="BR328" s="31">
        <f t="shared" si="21"/>
        <v>0.16884818671021506</v>
      </c>
      <c r="BS328" s="31">
        <f t="shared" si="21"/>
        <v>0.07136460105255732</v>
      </c>
      <c r="BT328" s="31">
        <f t="shared" si="21"/>
        <v>0.04803538174643761</v>
      </c>
      <c r="BU328" s="31">
        <f t="shared" si="21"/>
        <v>0</v>
      </c>
      <c r="BV328" s="31">
        <f>BJ328</f>
        <v>175.77817252047979</v>
      </c>
      <c r="BW328" s="31">
        <f>(0.309701-0.00000555238*(CC328+100)^1.1+0.0000000160444*(CC328+100)^2.2-0.00000000000568436*(CC328+100)^3.3+0.000000000000000856875*(CC328+100)^4.4-0.0000000000000000000482474*(CC328+100)^5.5)*CC328</f>
        <v>163.73352325182526</v>
      </c>
      <c r="BX328" s="31">
        <f>(0.356179-0.0000326182*(CC328+100)^0.8+0.00000129519*(CC328+100)^1.6-0.00000000148934*(CC328+100)^2.4-0.000000000000594678*(CC328+100)^3.2+0.00000000000000129158*(CC328+100)^4)*CC328</f>
        <v>196.2026764744538</v>
      </c>
      <c r="BY328" s="31">
        <f>(0.34584+0.0008688*(CC328+100)^0.82-0.00000109945*(CC328+100)^1.64+0.00000000054341*(CC328+100)^2.46)*CC328</f>
        <v>245.8568213479679</v>
      </c>
      <c r="BZ328" s="31">
        <f>(0.317715-0.000574557*(CC328+100)^0.7+0.0000164618*(CC328+100)^1.4-0.000000119525*(CC328+100)^2.1+0.000000000385185*(CC328+100)^2.8-0.000000000000467365*(CC328+100)^3.5)*CC328</f>
        <v>172.49637258477813</v>
      </c>
      <c r="CA328" s="31">
        <f>0.10364*CC328^1.12+0.26993*IF(CC328&lt;=1300,0,(CC328-1300)^0.9)</f>
        <v>113.06001485580748</v>
      </c>
      <c r="CB328" s="31">
        <f>BQ328*BW328+BR328*BX328+BS328*BY328+BT328*BZ328+0.001*BU328*CA328</f>
        <v>175.77817252047979</v>
      </c>
      <c r="CC328" s="31">
        <f>CC328+2.5*(BV328-CB328)</f>
        <v>515.5906467049683</v>
      </c>
    </row>
    <row r="330" spans="70:73" ht="15.75">
      <c r="BR330" s="18"/>
      <c r="BS330" s="18"/>
      <c r="BT330" s="18"/>
      <c r="BU330" s="18"/>
    </row>
    <row r="331" spans="6:7" ht="15">
      <c r="F331" s="1" t="s">
        <v>1040</v>
      </c>
      <c r="G331" s="1" t="s">
        <v>1057</v>
      </c>
    </row>
    <row r="332" spans="5:73" ht="15.75">
      <c r="E332" s="1" t="s">
        <v>1058</v>
      </c>
      <c r="F332" s="1" t="s">
        <v>1043</v>
      </c>
      <c r="R332" s="1" t="s">
        <v>1059</v>
      </c>
      <c r="S332" s="12" t="s">
        <v>1045</v>
      </c>
      <c r="T332" s="13"/>
      <c r="U332" s="13"/>
      <c r="V332" s="13"/>
      <c r="W332" s="1" t="s">
        <v>1060</v>
      </c>
      <c r="X332" s="12" t="s">
        <v>1047</v>
      </c>
      <c r="Y332" s="13"/>
      <c r="Z332" s="13"/>
      <c r="AA332" s="13"/>
      <c r="BO332" s="1" t="s">
        <v>1116</v>
      </c>
      <c r="BP332" s="14" t="s">
        <v>1110</v>
      </c>
      <c r="BQ332" s="15"/>
      <c r="BR332" s="15"/>
      <c r="BS332" s="15"/>
      <c r="BT332" s="15"/>
      <c r="BU332" s="15"/>
    </row>
    <row r="333" spans="5:73" ht="15.75">
      <c r="E333" s="24" t="s">
        <v>835</v>
      </c>
      <c r="F333" s="24" t="s">
        <v>1030</v>
      </c>
      <c r="G333" s="24" t="s">
        <v>997</v>
      </c>
      <c r="H333" s="24" t="s">
        <v>1020</v>
      </c>
      <c r="I333" s="24" t="s">
        <v>1021</v>
      </c>
      <c r="J333" s="24" t="s">
        <v>1019</v>
      </c>
      <c r="K333" s="24" t="s">
        <v>1027</v>
      </c>
      <c r="L333" s="24" t="s">
        <v>1028</v>
      </c>
      <c r="M333" s="24" t="s">
        <v>1025</v>
      </c>
      <c r="N333" s="24" t="s">
        <v>1026</v>
      </c>
      <c r="O333" s="24" t="s">
        <v>102</v>
      </c>
      <c r="P333" s="24" t="s">
        <v>699</v>
      </c>
      <c r="Q333" s="24"/>
      <c r="S333" s="24" t="s">
        <v>695</v>
      </c>
      <c r="T333" s="24" t="s">
        <v>840</v>
      </c>
      <c r="U333" s="24" t="s">
        <v>706</v>
      </c>
      <c r="V333" s="24" t="s">
        <v>695</v>
      </c>
      <c r="X333" s="24" t="s">
        <v>1011</v>
      </c>
      <c r="Y333" s="24" t="s">
        <v>1036</v>
      </c>
      <c r="Z333" s="24" t="s">
        <v>992</v>
      </c>
      <c r="AA333" s="24" t="s">
        <v>1029</v>
      </c>
      <c r="BP333" s="14" t="s">
        <v>1600</v>
      </c>
      <c r="BQ333" s="14" t="s">
        <v>644</v>
      </c>
      <c r="BR333" s="14" t="s">
        <v>102</v>
      </c>
      <c r="BS333" s="14" t="s">
        <v>1540</v>
      </c>
      <c r="BT333" s="14" t="s">
        <v>646</v>
      </c>
      <c r="BU333" s="14" t="s">
        <v>1597</v>
      </c>
    </row>
    <row r="334" spans="5:73" ht="15.75">
      <c r="E334" s="4">
        <v>16000</v>
      </c>
      <c r="F334" s="4">
        <v>13.449489349675728</v>
      </c>
      <c r="G334" s="4">
        <v>1084</v>
      </c>
      <c r="H334" s="4">
        <v>4.3685</v>
      </c>
      <c r="I334" s="4">
        <v>0.8</v>
      </c>
      <c r="J334" s="4">
        <v>11.3</v>
      </c>
      <c r="K334" s="4">
        <v>18.774</v>
      </c>
      <c r="L334" s="4">
        <v>0.6</v>
      </c>
      <c r="M334" s="4">
        <v>10.1</v>
      </c>
      <c r="N334" s="4">
        <v>0.75</v>
      </c>
      <c r="O334" s="4">
        <v>0.16442722297719176</v>
      </c>
      <c r="P334" s="4">
        <v>16.336199999999998</v>
      </c>
      <c r="T334" s="4">
        <v>0.994</v>
      </c>
      <c r="U334" s="4">
        <v>1.3859620991253643</v>
      </c>
      <c r="V334" s="4">
        <v>0.02</v>
      </c>
      <c r="X334" s="4">
        <v>238.4175097238821</v>
      </c>
      <c r="Y334" s="4">
        <v>56</v>
      </c>
      <c r="Z334" s="4">
        <v>959.836962470187</v>
      </c>
      <c r="AA334" s="4">
        <v>453</v>
      </c>
      <c r="BQ334" s="4">
        <v>0.7157391567843946</v>
      </c>
      <c r="BR334" s="31">
        <f>O334</f>
        <v>0.16442722297719176</v>
      </c>
      <c r="BS334" s="4">
        <v>0.06924498965487691</v>
      </c>
      <c r="BT334" s="4">
        <v>0.052845918704647166</v>
      </c>
      <c r="BU334" s="4">
        <v>0</v>
      </c>
    </row>
    <row r="335" spans="28:65" ht="15.75">
      <c r="AB335" s="1" t="s">
        <v>1049</v>
      </c>
      <c r="AC335" s="12" t="s">
        <v>1050</v>
      </c>
      <c r="AD335" s="13"/>
      <c r="AE335" s="13"/>
      <c r="AF335" s="13"/>
      <c r="AI335" s="1" t="s">
        <v>987</v>
      </c>
      <c r="AW335" s="1" t="s">
        <v>1051</v>
      </c>
      <c r="BF335" s="1" t="s">
        <v>1009</v>
      </c>
      <c r="BM335" s="1" t="s">
        <v>1112</v>
      </c>
    </row>
    <row r="336" spans="4:81" ht="15.75">
      <c r="D336" s="5" t="s">
        <v>1052</v>
      </c>
      <c r="E336" s="3" t="s">
        <v>835</v>
      </c>
      <c r="F336" s="3" t="s">
        <v>1030</v>
      </c>
      <c r="G336" s="3" t="s">
        <v>997</v>
      </c>
      <c r="H336" s="3" t="s">
        <v>1020</v>
      </c>
      <c r="I336" s="3" t="s">
        <v>1021</v>
      </c>
      <c r="J336" s="3" t="s">
        <v>1019</v>
      </c>
      <c r="K336" s="3" t="s">
        <v>1027</v>
      </c>
      <c r="L336" s="3" t="s">
        <v>1028</v>
      </c>
      <c r="M336" s="3" t="s">
        <v>1025</v>
      </c>
      <c r="N336" s="3" t="s">
        <v>1026</v>
      </c>
      <c r="O336" s="3" t="s">
        <v>102</v>
      </c>
      <c r="P336" s="3" t="s">
        <v>699</v>
      </c>
      <c r="T336" s="3" t="s">
        <v>840</v>
      </c>
      <c r="U336" s="3" t="s">
        <v>706</v>
      </c>
      <c r="V336" s="1" t="s">
        <v>695</v>
      </c>
      <c r="X336" s="3" t="s">
        <v>1011</v>
      </c>
      <c r="Y336" s="3" t="s">
        <v>1036</v>
      </c>
      <c r="Z336" s="3" t="s">
        <v>992</v>
      </c>
      <c r="AA336" s="3" t="s">
        <v>1029</v>
      </c>
      <c r="AC336" s="24" t="s">
        <v>1011</v>
      </c>
      <c r="AD336" s="24" t="s">
        <v>1036</v>
      </c>
      <c r="AE336" s="24" t="s">
        <v>992</v>
      </c>
      <c r="AF336" s="24" t="s">
        <v>996</v>
      </c>
      <c r="AH336" s="3" t="s">
        <v>1003</v>
      </c>
      <c r="AI336" s="3" t="s">
        <v>991</v>
      </c>
      <c r="AJ336" s="3" t="s">
        <v>1053</v>
      </c>
      <c r="AK336" s="3" t="s">
        <v>1022</v>
      </c>
      <c r="AL336" s="3" t="s">
        <v>1023</v>
      </c>
      <c r="AM336" s="3" t="s">
        <v>1024</v>
      </c>
      <c r="AN336" s="3" t="s">
        <v>1061</v>
      </c>
      <c r="AO336" s="3" t="s">
        <v>1031</v>
      </c>
      <c r="AP336" s="3" t="s">
        <v>1032</v>
      </c>
      <c r="AQ336" s="3" t="s">
        <v>1033</v>
      </c>
      <c r="AT336" s="3" t="s">
        <v>1002</v>
      </c>
      <c r="AU336" s="3" t="s">
        <v>1004</v>
      </c>
      <c r="AW336" s="3" t="s">
        <v>695</v>
      </c>
      <c r="AX336" s="3" t="s">
        <v>840</v>
      </c>
      <c r="AY336" s="3" t="s">
        <v>1035</v>
      </c>
      <c r="AZ336" s="3" t="s">
        <v>1007</v>
      </c>
      <c r="BA336" s="3" t="s">
        <v>1036</v>
      </c>
      <c r="BC336" s="3" t="s">
        <v>1037</v>
      </c>
      <c r="BD336" s="3" t="s">
        <v>996</v>
      </c>
      <c r="BF336" s="3" t="s">
        <v>706</v>
      </c>
      <c r="BG336" s="1" t="s">
        <v>695</v>
      </c>
      <c r="BH336" s="3" t="s">
        <v>699</v>
      </c>
      <c r="BI336" s="3" t="s">
        <v>1010</v>
      </c>
      <c r="BJ336" s="3" t="s">
        <v>1011</v>
      </c>
      <c r="BK336" s="3" t="s">
        <v>1053</v>
      </c>
      <c r="BL336" s="1" t="s">
        <v>1117</v>
      </c>
      <c r="BM336" s="3" t="s">
        <v>1604</v>
      </c>
      <c r="BN336" s="3" t="s">
        <v>1114</v>
      </c>
      <c r="BO336" s="14" t="s">
        <v>1115</v>
      </c>
      <c r="BP336" s="14" t="s">
        <v>1600</v>
      </c>
      <c r="BQ336" s="14" t="s">
        <v>644</v>
      </c>
      <c r="BR336" s="14" t="s">
        <v>102</v>
      </c>
      <c r="BS336" s="14" t="s">
        <v>1540</v>
      </c>
      <c r="BT336" s="14" t="s">
        <v>646</v>
      </c>
      <c r="BU336" s="14" t="s">
        <v>1597</v>
      </c>
      <c r="BV336" s="14" t="s">
        <v>369</v>
      </c>
      <c r="BW336" s="1" t="s">
        <v>88</v>
      </c>
      <c r="BX336" s="1" t="s">
        <v>306</v>
      </c>
      <c r="BY336" s="1" t="s">
        <v>1508</v>
      </c>
      <c r="BZ336" s="1" t="s">
        <v>387</v>
      </c>
      <c r="CA336" s="3" t="s">
        <v>397</v>
      </c>
      <c r="CB336" s="3" t="s">
        <v>404</v>
      </c>
      <c r="CC336" s="3" t="s">
        <v>544</v>
      </c>
    </row>
    <row r="337" spans="4:81" ht="15.75">
      <c r="D337" s="4">
        <v>1</v>
      </c>
      <c r="E337" s="31">
        <f aca="true" t="shared" si="22" ref="E337:P337">E334</f>
        <v>16000</v>
      </c>
      <c r="F337" s="31">
        <f t="shared" si="22"/>
        <v>13.449489349675728</v>
      </c>
      <c r="G337" s="31">
        <f t="shared" si="22"/>
        <v>1084</v>
      </c>
      <c r="H337" s="31">
        <f t="shared" si="22"/>
        <v>4.3685</v>
      </c>
      <c r="I337" s="31">
        <f t="shared" si="22"/>
        <v>0.8</v>
      </c>
      <c r="J337" s="31">
        <f t="shared" si="22"/>
        <v>11.3</v>
      </c>
      <c r="K337" s="31">
        <f t="shared" si="22"/>
        <v>18.774</v>
      </c>
      <c r="L337" s="31">
        <f t="shared" si="22"/>
        <v>0.6</v>
      </c>
      <c r="M337" s="31">
        <f t="shared" si="22"/>
        <v>10.1</v>
      </c>
      <c r="N337" s="31">
        <f t="shared" si="22"/>
        <v>0.75</v>
      </c>
      <c r="O337" s="31">
        <f t="shared" si="22"/>
        <v>0.16442722297719176</v>
      </c>
      <c r="P337" s="31">
        <f t="shared" si="22"/>
        <v>16.336199999999998</v>
      </c>
      <c r="T337" s="31">
        <f>T334</f>
        <v>0.994</v>
      </c>
      <c r="U337" s="31">
        <f>U334</f>
        <v>1.3859620991253643</v>
      </c>
      <c r="V337" s="31">
        <f>V334</f>
        <v>0.02</v>
      </c>
      <c r="X337" s="31">
        <f>X334</f>
        <v>238.4175097238821</v>
      </c>
      <c r="Y337" s="31">
        <f>AD338</f>
        <v>159.96589389661324</v>
      </c>
      <c r="Z337" s="31">
        <f>Z334</f>
        <v>959.836962470187</v>
      </c>
      <c r="AA337" s="31">
        <f>AF338</f>
        <v>769.9330887872272</v>
      </c>
      <c r="AC337" s="31">
        <f>BJ337</f>
        <v>220.55777516316994</v>
      </c>
      <c r="AD337" s="31">
        <f>BA337</f>
        <v>181.52876717873633</v>
      </c>
      <c r="AE337" s="31">
        <f>BK337+273</f>
        <v>910.9263531150917</v>
      </c>
      <c r="AF337" s="31">
        <f>BD337</f>
        <v>833.475570876977</v>
      </c>
      <c r="AH337" s="31">
        <f>Z337-AA337</f>
        <v>189.90387368295978</v>
      </c>
      <c r="AI337" s="31">
        <f>(Z337+AA337)/2</f>
        <v>864.8850256287071</v>
      </c>
      <c r="AJ337" s="31">
        <f>Z337-273</f>
        <v>686.836962470187</v>
      </c>
      <c r="AK337" s="31">
        <f>E337*P337/(3600*J337)*(AJ337+273)/273</f>
        <v>22.590451102402696</v>
      </c>
      <c r="AL337" s="31">
        <f>1.6256-0.045133*(Z337-273)^0.5+0.4512*O337+0.093678*(Z337-273)^0.5*O337+0.00045725*(Z337-273)+1.5688*O337^2-0.12748*(Z337-273)^0.5*O337^1.2</f>
        <v>0.8942570628920542</v>
      </c>
      <c r="AM337" s="31">
        <f>H337*AL337*AK337^I337</f>
        <v>47.30800582507049</v>
      </c>
      <c r="AN337" s="31">
        <f>AA337-273</f>
        <v>496.93308878722723</v>
      </c>
      <c r="AO337" s="31">
        <f>E337*F337/(3600*M337)*(AN337+273)/273</f>
        <v>16.691379856472718</v>
      </c>
      <c r="AP337" s="31">
        <f>2.2357-0.72908*(AA337-173)^0.1-0.0082964*(AA337-173)^0.2</f>
        <v>0.8243560682277035</v>
      </c>
      <c r="AQ337" s="31">
        <f>K337*AP337*AO337^L337</f>
        <v>83.78513952112705</v>
      </c>
      <c r="AT337" s="31">
        <f>N337/(1/AM337+1/AQ337)</f>
        <v>22.67685998027733</v>
      </c>
      <c r="AU337" s="31">
        <f>AT337*G337*AH337/E337</f>
        <v>291.76019573070596</v>
      </c>
      <c r="AW337" s="31">
        <f>V337</f>
        <v>0.02</v>
      </c>
      <c r="AX337" s="31">
        <f>T337</f>
        <v>0.994</v>
      </c>
      <c r="AY337" s="31">
        <f>Y337</f>
        <v>159.96589389661324</v>
      </c>
      <c r="AZ337" s="31">
        <f>AU337*AX337</f>
        <v>290.0096345563217</v>
      </c>
      <c r="BA337" s="31">
        <f>AY337+AZ337/F337</f>
        <v>181.52876717873633</v>
      </c>
      <c r="BC337" s="31">
        <f>3.2584*BA337-0.00087946*BA337^2-0.56112*BA337*AW337</f>
        <v>560.475570876977</v>
      </c>
      <c r="BD337" s="31">
        <f>BC337+273</f>
        <v>833.475570876977</v>
      </c>
      <c r="BF337" s="31">
        <f aca="true" t="shared" si="23" ref="BF337:BG341">U337</f>
        <v>1.3859620991253643</v>
      </c>
      <c r="BG337" s="31">
        <f t="shared" si="23"/>
        <v>0.02</v>
      </c>
      <c r="BH337" s="31">
        <f>P337</f>
        <v>16.336199999999998</v>
      </c>
      <c r="BI337" s="31">
        <f>X337</f>
        <v>238.4175097238821</v>
      </c>
      <c r="BJ337" s="31">
        <f>BI337-AU337/BH337</f>
        <v>220.55777516316994</v>
      </c>
      <c r="BK337" s="31">
        <f>CC337</f>
        <v>637.9263531150917</v>
      </c>
      <c r="BQ337" s="31">
        <f>BQ334</f>
        <v>0.7157391567843946</v>
      </c>
      <c r="BR337" s="31">
        <f>BR334</f>
        <v>0.16442722297719176</v>
      </c>
      <c r="BS337" s="31">
        <f>BS334</f>
        <v>0.06924498965487691</v>
      </c>
      <c r="BT337" s="31">
        <f>BT334</f>
        <v>0.052845918704647166</v>
      </c>
      <c r="BU337" s="31">
        <f>BU334</f>
        <v>0</v>
      </c>
      <c r="BV337" s="31">
        <f>BJ337</f>
        <v>220.55777516316994</v>
      </c>
      <c r="BW337" s="31">
        <f>(0.309701-0.00000555238*(CC337+100)^1.1+0.0000000160444*(CC337+100)^2.2-0.00000000000568436*(CC337+100)^3.3+0.000000000000000856875*(CC337+100)^4.4-0.0000000000000000000482474*(CC337+100)^5.5)*CC337</f>
        <v>204.91330604320046</v>
      </c>
      <c r="BX337" s="31">
        <f>(0.356179-0.0000326182*(CC337+100)^0.8+0.00000129519*(CC337+100)^1.6-0.00000000148934*(CC337+100)^2.4-0.000000000000594678*(CC337+100)^3.2+0.00000000000000129158*(CC337+100)^4)*CC337</f>
        <v>247.5867141851876</v>
      </c>
      <c r="BY337" s="31">
        <f>(0.34584+0.0008688*(CC337+100)^0.82-0.00000109945*(CC337+100)^1.64+0.00000000054341*(CC337+100)^2.46)*CC337</f>
        <v>313.70201754806214</v>
      </c>
      <c r="BZ337" s="31">
        <f>(0.317715-0.000574557*(CC337+100)^0.7+0.0000164618*(CC337+100)^1.4-0.000000119525*(CC337+100)^2.1+0.000000000385185*(CC337+100)^2.8-0.000000000000467365*(CC337+100)^3.5)*CC337</f>
        <v>216.8759621081481</v>
      </c>
      <c r="CA337" s="31">
        <f>0.10364*CC337^1.12+0.26993*IF(CC337&lt;=1300,0,(CC337-1300)^0.9)</f>
        <v>143.50611686495287</v>
      </c>
      <c r="CB337" s="31">
        <f>BQ337*BW337+BR337*BX337+BS337*BY337+BT337*BZ337+0.001*BU337*CA337</f>
        <v>220.55777516316988</v>
      </c>
      <c r="CC337" s="31">
        <f>CC337+2.5*(BV337-CB337)</f>
        <v>637.9263531150917</v>
      </c>
    </row>
    <row r="338" spans="4:81" ht="15.75">
      <c r="D338" s="4">
        <v>2</v>
      </c>
      <c r="E338" s="31">
        <f aca="true" t="shared" si="24" ref="E338:P341">E337</f>
        <v>16000</v>
      </c>
      <c r="F338" s="31">
        <f t="shared" si="24"/>
        <v>13.449489349675728</v>
      </c>
      <c r="G338" s="31">
        <f t="shared" si="24"/>
        <v>1084</v>
      </c>
      <c r="H338" s="31">
        <f t="shared" si="24"/>
        <v>4.3685</v>
      </c>
      <c r="I338" s="31">
        <f t="shared" si="24"/>
        <v>0.8</v>
      </c>
      <c r="J338" s="31">
        <f t="shared" si="24"/>
        <v>11.3</v>
      </c>
      <c r="K338" s="31">
        <f t="shared" si="24"/>
        <v>18.774</v>
      </c>
      <c r="L338" s="31">
        <f t="shared" si="24"/>
        <v>0.6</v>
      </c>
      <c r="M338" s="31">
        <f t="shared" si="24"/>
        <v>10.1</v>
      </c>
      <c r="N338" s="31">
        <f t="shared" si="24"/>
        <v>0.75</v>
      </c>
      <c r="O338" s="31">
        <f t="shared" si="24"/>
        <v>0.16442722297719176</v>
      </c>
      <c r="P338" s="31">
        <f t="shared" si="24"/>
        <v>16.336199999999998</v>
      </c>
      <c r="T338" s="31">
        <f aca="true" t="shared" si="25" ref="T338:V341">T337</f>
        <v>0.994</v>
      </c>
      <c r="U338" s="31">
        <f t="shared" si="25"/>
        <v>1.3859620991253643</v>
      </c>
      <c r="V338" s="31">
        <f t="shared" si="25"/>
        <v>0.02</v>
      </c>
      <c r="X338" s="31">
        <f>AC337</f>
        <v>220.55777516316994</v>
      </c>
      <c r="Y338" s="31">
        <f>AD339</f>
        <v>136.65820424752937</v>
      </c>
      <c r="Z338" s="31">
        <f>AE337</f>
        <v>910.9263531150917</v>
      </c>
      <c r="AA338" s="31">
        <f>AF339</f>
        <v>700.3291354262076</v>
      </c>
      <c r="AC338" s="31">
        <f>BJ338</f>
        <v>201.25287340403338</v>
      </c>
      <c r="AD338" s="31">
        <f>BA338</f>
        <v>159.96589389661324</v>
      </c>
      <c r="AE338" s="31">
        <f>BK338+273</f>
        <v>858.842324936047</v>
      </c>
      <c r="AF338" s="31">
        <f>BD338</f>
        <v>769.9330887872272</v>
      </c>
      <c r="AH338" s="31">
        <f>Z338-AA338</f>
        <v>210.59721768888414</v>
      </c>
      <c r="AI338" s="31">
        <f>(Z338+AA338)/2</f>
        <v>805.6277442706496</v>
      </c>
      <c r="AJ338" s="31">
        <f>Z338-273</f>
        <v>637.9263531150917</v>
      </c>
      <c r="AK338" s="31">
        <f>E338*P338/(3600*J338)*(AJ338+273)/273</f>
        <v>21.439304842957284</v>
      </c>
      <c r="AL338" s="31">
        <f>1.6256-0.045133*(Z338-273)^0.5+0.4512*O338+0.093678*(Z338-273)^0.5*O338+0.00045725*(Z338-273)+1.5688*O338^2-0.12748*(Z338-273)^0.5*O338^1.2</f>
        <v>0.9140306446860662</v>
      </c>
      <c r="AM338" s="31">
        <f>H338*AL338*AK338^I338</f>
        <v>46.372622400195816</v>
      </c>
      <c r="AN338" s="31">
        <f>AA338-273</f>
        <v>427.3291354262076</v>
      </c>
      <c r="AO338" s="31">
        <f>E338*F338/(3600*M338)*(AN338+273)/273</f>
        <v>15.182435713169308</v>
      </c>
      <c r="AP338" s="31">
        <f>2.2357-0.72908*(AA338-173)^0.1-0.0082964*(AA338-173)^0.2</f>
        <v>0.8421084436721694</v>
      </c>
      <c r="AQ338" s="31">
        <f>K338*AP338*AO338^L338</f>
        <v>80.85924948800407</v>
      </c>
      <c r="AT338" s="31">
        <f>N338/(1/AM338+1/AQ338)</f>
        <v>22.103279165176307</v>
      </c>
      <c r="AU338" s="31">
        <f>AT338*G338*AH338/E338</f>
        <v>315.36873611760655</v>
      </c>
      <c r="AW338" s="31">
        <f>V338</f>
        <v>0.02</v>
      </c>
      <c r="AX338" s="31">
        <f>T338</f>
        <v>0.994</v>
      </c>
      <c r="AY338" s="31">
        <f>Y338</f>
        <v>136.65820424752937</v>
      </c>
      <c r="AZ338" s="31">
        <f>AU338*AX338</f>
        <v>313.4765237009009</v>
      </c>
      <c r="BA338" s="31">
        <f>AY338+AZ338/F338</f>
        <v>159.96589389661324</v>
      </c>
      <c r="BC338" s="31">
        <f>3.2584*BA338-0.00087946*BA338^2-0.56112*BA338*AW338</f>
        <v>496.93308878722723</v>
      </c>
      <c r="BD338" s="31">
        <f>BC338+273</f>
        <v>769.9330887872272</v>
      </c>
      <c r="BF338" s="31">
        <f t="shared" si="23"/>
        <v>1.3859620991253643</v>
      </c>
      <c r="BG338" s="31">
        <f t="shared" si="23"/>
        <v>0.02</v>
      </c>
      <c r="BH338" s="31">
        <f>P338</f>
        <v>16.336199999999998</v>
      </c>
      <c r="BI338" s="31">
        <f>X338</f>
        <v>220.55777516316994</v>
      </c>
      <c r="BJ338" s="31">
        <f>BI338-AU338/BH338</f>
        <v>201.25287340403338</v>
      </c>
      <c r="BK338" s="31">
        <f>CC338</f>
        <v>585.842324936047</v>
      </c>
      <c r="BQ338" s="31">
        <f aca="true" t="shared" si="26" ref="BQ338:BU341">BQ337</f>
        <v>0.7157391567843946</v>
      </c>
      <c r="BR338" s="31">
        <f t="shared" si="26"/>
        <v>0.16442722297719176</v>
      </c>
      <c r="BS338" s="31">
        <f t="shared" si="26"/>
        <v>0.06924498965487691</v>
      </c>
      <c r="BT338" s="31">
        <f t="shared" si="26"/>
        <v>0.052845918704647166</v>
      </c>
      <c r="BU338" s="31">
        <f t="shared" si="26"/>
        <v>0</v>
      </c>
      <c r="BV338" s="31">
        <f>BJ338</f>
        <v>201.25287340403338</v>
      </c>
      <c r="BW338" s="31">
        <f>(0.309701-0.00000555238*(CC338+100)^1.1+0.0000000160444*(CC338+100)^2.2-0.00000000000568436*(CC338+100)^3.3+0.000000000000000856875*(CC338+100)^4.4-0.0000000000000000000482474*(CC338+100)^5.5)*CC338</f>
        <v>187.25302513501867</v>
      </c>
      <c r="BX338" s="31">
        <f>(0.356179-0.0000326182*(CC338+100)^0.8+0.00000129519*(CC338+100)^1.6-0.00000000148934*(CC338+100)^2.4-0.000000000000594678*(CC338+100)^3.2+0.00000000000000129158*(CC338+100)^4)*CC338</f>
        <v>225.45964162078286</v>
      </c>
      <c r="BY338" s="31">
        <f>(0.34584+0.0008688*(CC338+100)^0.82-0.00000109945*(CC338+100)^1.64+0.00000000054341*(CC338+100)^2.46)*CC338</f>
        <v>284.51012216500743</v>
      </c>
      <c r="BZ338" s="31">
        <f>(0.317715-0.000574557*(CC338+100)^0.7+0.0000164618*(CC338+100)^1.4-0.000000119525*(CC338+100)^2.1+0.000000000385185*(CC338+100)^2.8-0.000000000000467365*(CC338+100)^3.5)*CC338</f>
        <v>197.8572444892831</v>
      </c>
      <c r="CA338" s="31">
        <f>0.10364*CC338^1.12+0.26993*IF(CC338&lt;=1300,0,(CC338-1300)^0.9)</f>
        <v>130.44932563012796</v>
      </c>
      <c r="CB338" s="31">
        <f>BQ338*BW338+BR338*BX338+BS338*BY338+BT338*BZ338+0.001*BU338*CA338</f>
        <v>201.25287340403338</v>
      </c>
      <c r="CC338" s="31">
        <f>CC338+2.5*(BV338-CB338)</f>
        <v>585.842324936047</v>
      </c>
    </row>
    <row r="339" spans="4:81" ht="15.75">
      <c r="D339" s="4">
        <v>3</v>
      </c>
      <c r="E339" s="31">
        <f t="shared" si="24"/>
        <v>16000</v>
      </c>
      <c r="F339" s="31">
        <f t="shared" si="24"/>
        <v>13.449489349675728</v>
      </c>
      <c r="G339" s="31">
        <f t="shared" si="24"/>
        <v>1084</v>
      </c>
      <c r="H339" s="31">
        <f t="shared" si="24"/>
        <v>4.3685</v>
      </c>
      <c r="I339" s="31">
        <f t="shared" si="24"/>
        <v>0.8</v>
      </c>
      <c r="J339" s="31">
        <f t="shared" si="24"/>
        <v>11.3</v>
      </c>
      <c r="K339" s="31">
        <f t="shared" si="24"/>
        <v>18.774</v>
      </c>
      <c r="L339" s="31">
        <f t="shared" si="24"/>
        <v>0.6</v>
      </c>
      <c r="M339" s="31">
        <f t="shared" si="24"/>
        <v>10.1</v>
      </c>
      <c r="N339" s="31">
        <f t="shared" si="24"/>
        <v>0.75</v>
      </c>
      <c r="O339" s="31">
        <f t="shared" si="24"/>
        <v>0.16442722297719176</v>
      </c>
      <c r="P339" s="31">
        <f t="shared" si="24"/>
        <v>16.336199999999998</v>
      </c>
      <c r="T339" s="31">
        <f t="shared" si="25"/>
        <v>0.994</v>
      </c>
      <c r="U339" s="31">
        <f t="shared" si="25"/>
        <v>1.3859620991253643</v>
      </c>
      <c r="V339" s="31">
        <f t="shared" si="25"/>
        <v>0.02</v>
      </c>
      <c r="X339" s="31">
        <f>AC338</f>
        <v>201.25287340403338</v>
      </c>
      <c r="Y339" s="31">
        <f>AD340</f>
        <v>111.42808560660616</v>
      </c>
      <c r="Z339" s="31">
        <f>AE338</f>
        <v>858.842324936047</v>
      </c>
      <c r="AA339" s="31">
        <f>AF340</f>
        <v>623.9072162799966</v>
      </c>
      <c r="AC339" s="31">
        <f>BJ339</f>
        <v>180.35569444431925</v>
      </c>
      <c r="AD339" s="31">
        <f>BA339</f>
        <v>136.65820424752937</v>
      </c>
      <c r="AE339" s="31">
        <f>BK339+273</f>
        <v>801.7243383500372</v>
      </c>
      <c r="AF339" s="31">
        <f>BD339</f>
        <v>700.3291354262076</v>
      </c>
      <c r="AH339" s="31">
        <f>Z339-AA339</f>
        <v>234.93510865605037</v>
      </c>
      <c r="AI339" s="31">
        <f>(Z339+AA339)/2</f>
        <v>741.3747706080219</v>
      </c>
      <c r="AJ339" s="31">
        <f>Z339-273</f>
        <v>585.842324936047</v>
      </c>
      <c r="AK339" s="31">
        <f>E339*P339/(3600*J339)*(AJ339+273)/273</f>
        <v>20.21346989619004</v>
      </c>
      <c r="AL339" s="31">
        <f>1.6256-0.045133*(Z339-273)^0.5+0.4512*O339+0.093678*(Z339-273)^0.5*O339+0.00045725*(Z339-273)+1.5688*O339^2-0.12748*(Z339-273)^0.5*O339^1.2</f>
        <v>0.9369046796180316</v>
      </c>
      <c r="AM339" s="31">
        <f>H339*AL339*AK339^I339</f>
        <v>45.34615266574076</v>
      </c>
      <c r="AN339" s="31">
        <f>AA339-273</f>
        <v>350.90721627999665</v>
      </c>
      <c r="AO339" s="31">
        <f>E339*F339/(3600*M339)*(AN339+273)/273</f>
        <v>13.525684885848309</v>
      </c>
      <c r="AP339" s="31">
        <f>2.2357-0.72908*(AA339-173)^0.1-0.0082964*(AA339-173)^0.2</f>
        <v>0.8642014909689052</v>
      </c>
      <c r="AQ339" s="31">
        <f>K339*AP339*AO339^L339</f>
        <v>77.42253444053031</v>
      </c>
      <c r="AT339" s="31">
        <f>N339/(1/AM339+1/AQ339)</f>
        <v>21.44773730130689</v>
      </c>
      <c r="AU339" s="31">
        <f>AT339*G339*AH339/E339</f>
        <v>341.380494921682</v>
      </c>
      <c r="AW339" s="31">
        <f>V339</f>
        <v>0.02</v>
      </c>
      <c r="AX339" s="31">
        <f>T339</f>
        <v>0.994</v>
      </c>
      <c r="AY339" s="31">
        <f>Y339</f>
        <v>111.42808560660616</v>
      </c>
      <c r="AZ339" s="31">
        <f>AU339*AX339</f>
        <v>339.3322119521519</v>
      </c>
      <c r="BA339" s="31">
        <f>AY339+AZ339/F339</f>
        <v>136.65820424752937</v>
      </c>
      <c r="BC339" s="31">
        <f>3.2584*BA339-0.00087946*BA339^2-0.56112*BA339*AW339</f>
        <v>427.32913542620753</v>
      </c>
      <c r="BD339" s="31">
        <f>BC339+273</f>
        <v>700.3291354262076</v>
      </c>
      <c r="BF339" s="31">
        <f t="shared" si="23"/>
        <v>1.3859620991253643</v>
      </c>
      <c r="BG339" s="31">
        <f t="shared" si="23"/>
        <v>0.02</v>
      </c>
      <c r="BH339" s="31">
        <f>P339</f>
        <v>16.336199999999998</v>
      </c>
      <c r="BI339" s="31">
        <f>X339</f>
        <v>201.25287340403338</v>
      </c>
      <c r="BJ339" s="31">
        <f>BI339-AU339/BH339</f>
        <v>180.35569444431925</v>
      </c>
      <c r="BK339" s="31">
        <f>CC339</f>
        <v>528.7243383500372</v>
      </c>
      <c r="BQ339" s="31">
        <f t="shared" si="26"/>
        <v>0.7157391567843946</v>
      </c>
      <c r="BR339" s="31">
        <f t="shared" si="26"/>
        <v>0.16442722297719176</v>
      </c>
      <c r="BS339" s="31">
        <f t="shared" si="26"/>
        <v>0.06924498965487691</v>
      </c>
      <c r="BT339" s="31">
        <f t="shared" si="26"/>
        <v>0.052845918704647166</v>
      </c>
      <c r="BU339" s="31">
        <f t="shared" si="26"/>
        <v>0</v>
      </c>
      <c r="BV339" s="31">
        <f>BJ339</f>
        <v>180.35569444431925</v>
      </c>
      <c r="BW339" s="31">
        <f>(0.309701-0.00000555238*(CC339+100)^1.1+0.0000000160444*(CC339+100)^2.2-0.00000000000568436*(CC339+100)^3.3+0.000000000000000856875*(CC339+100)^4.4-0.0000000000000000000482474*(CC339+100)^5.5)*CC339</f>
        <v>168.10415040144193</v>
      </c>
      <c r="BX339" s="31">
        <f>(0.356179-0.0000326182*(CC339+100)^0.8+0.00000129519*(CC339+100)^1.6-0.00000000148934*(CC339+100)^2.4-0.000000000000594678*(CC339+100)^3.2+0.00000000000000129158*(CC339+100)^4)*CC339</f>
        <v>201.62118333566892</v>
      </c>
      <c r="BY339" s="31">
        <f>(0.34584+0.0008688*(CC339+100)^0.82-0.00000109945*(CC339+100)^1.64+0.00000000054341*(CC339+100)^2.46)*CC339</f>
        <v>253.01627149694562</v>
      </c>
      <c r="BZ339" s="31">
        <f>(0.317715-0.000574557*(CC339+100)^0.7+0.0000164618*(CC339+100)^1.4-0.000000119525*(CC339+100)^2.1+0.000000000385185*(CC339+100)^2.8-0.000000000000467365*(CC339+100)^3.5)*CC339</f>
        <v>177.2104912167953</v>
      </c>
      <c r="CA339" s="31">
        <f>0.10364*CC339^1.12+0.26993*IF(CC339&lt;=1300,0,(CC339-1300)^0.9)</f>
        <v>116.29049603600714</v>
      </c>
      <c r="CB339" s="31">
        <f>BQ339*BW339+BR339*BX339+BS339*BY339+BT339*BZ339+0.001*BU339*CA339</f>
        <v>180.35569444431925</v>
      </c>
      <c r="CC339" s="31">
        <f>CC339+2.5*(BV339-CB339)</f>
        <v>528.7243383500372</v>
      </c>
    </row>
    <row r="340" spans="4:81" ht="15.75">
      <c r="D340" s="4">
        <v>4</v>
      </c>
      <c r="E340" s="31">
        <f t="shared" si="24"/>
        <v>16000</v>
      </c>
      <c r="F340" s="31">
        <f t="shared" si="24"/>
        <v>13.449489349675728</v>
      </c>
      <c r="G340" s="31">
        <f t="shared" si="24"/>
        <v>1084</v>
      </c>
      <c r="H340" s="31">
        <f t="shared" si="24"/>
        <v>4.3685</v>
      </c>
      <c r="I340" s="31">
        <f t="shared" si="24"/>
        <v>0.8</v>
      </c>
      <c r="J340" s="31">
        <f t="shared" si="24"/>
        <v>11.3</v>
      </c>
      <c r="K340" s="31">
        <f t="shared" si="24"/>
        <v>18.774</v>
      </c>
      <c r="L340" s="31">
        <f t="shared" si="24"/>
        <v>0.6</v>
      </c>
      <c r="M340" s="31">
        <f t="shared" si="24"/>
        <v>10.1</v>
      </c>
      <c r="N340" s="31">
        <f t="shared" si="24"/>
        <v>0.75</v>
      </c>
      <c r="O340" s="31">
        <f t="shared" si="24"/>
        <v>0.16442722297719176</v>
      </c>
      <c r="P340" s="31">
        <f t="shared" si="24"/>
        <v>16.336199999999998</v>
      </c>
      <c r="T340" s="31">
        <f t="shared" si="25"/>
        <v>0.994</v>
      </c>
      <c r="U340" s="31">
        <f t="shared" si="25"/>
        <v>1.3859620991253643</v>
      </c>
      <c r="V340" s="31">
        <f t="shared" si="25"/>
        <v>0.02</v>
      </c>
      <c r="X340" s="31">
        <f>AC339</f>
        <v>180.35569444431925</v>
      </c>
      <c r="Y340" s="31">
        <f>AD341</f>
        <v>84.41002994139346</v>
      </c>
      <c r="Z340" s="31">
        <f>AE339</f>
        <v>801.7243383500372</v>
      </c>
      <c r="AA340" s="31">
        <f>AF341</f>
        <v>540.8281591935836</v>
      </c>
      <c r="AC340" s="31">
        <f>BJ340</f>
        <v>157.97763303228587</v>
      </c>
      <c r="AD340" s="31">
        <f>BA340</f>
        <v>111.42808560660616</v>
      </c>
      <c r="AE340" s="31">
        <f>BK340+273</f>
        <v>739.6565139503609</v>
      </c>
      <c r="AF340" s="31">
        <f>BD340</f>
        <v>623.9072162799966</v>
      </c>
      <c r="AH340" s="31">
        <f>Z340-AA340</f>
        <v>260.8961791564536</v>
      </c>
      <c r="AI340" s="31">
        <f>(Z340+AA340)/2</f>
        <v>671.2762487718104</v>
      </c>
      <c r="AJ340" s="31">
        <f>Z340-273</f>
        <v>528.7243383500372</v>
      </c>
      <c r="AK340" s="31">
        <f>E340*P340/(3600*J340)*(AJ340+273)/273</f>
        <v>18.869157129031915</v>
      </c>
      <c r="AL340" s="31">
        <f>1.6256-0.045133*(Z340-273)^0.5+0.4512*O340+0.093678*(Z340-273)^0.5*O340+0.00045725*(Z340-273)+1.5688*O340^2-0.12748*(Z340-273)^0.5*O340^1.2</f>
        <v>0.9644446915939192</v>
      </c>
      <c r="AM340" s="31">
        <f>H340*AL340*AK340^I340</f>
        <v>44.1785713863217</v>
      </c>
      <c r="AN340" s="31">
        <f>AA340-273</f>
        <v>267.8281591935836</v>
      </c>
      <c r="AO340" s="31">
        <f>E340*F340/(3600*M340)*(AN340+273)/273</f>
        <v>11.72461396144994</v>
      </c>
      <c r="AP340" s="31">
        <f>2.2357-0.72908*(AA340-173)^0.1-0.0082964*(AA340-173)^0.2</f>
        <v>0.8924053192420973</v>
      </c>
      <c r="AQ340" s="31">
        <f>K340*AP340*AO340^L340</f>
        <v>73.38006551261864</v>
      </c>
      <c r="AT340" s="31">
        <f>N340/(1/AM340+1/AQ340)</f>
        <v>20.68218814944898</v>
      </c>
      <c r="AU340" s="31">
        <f>AT340*G340*AH340/E340</f>
        <v>365.57248683925985</v>
      </c>
      <c r="AW340" s="31">
        <f>V340</f>
        <v>0.02</v>
      </c>
      <c r="AX340" s="31">
        <f>T340</f>
        <v>0.994</v>
      </c>
      <c r="AY340" s="31">
        <f>Y340</f>
        <v>84.41002994139346</v>
      </c>
      <c r="AZ340" s="31">
        <f>AU340*AX340</f>
        <v>363.37905191822426</v>
      </c>
      <c r="BA340" s="31">
        <f>AY340+AZ340/F340</f>
        <v>111.42808560660616</v>
      </c>
      <c r="BC340" s="31">
        <f>3.2584*BA340-0.00087946*BA340^2-0.56112*BA340*AW340</f>
        <v>350.90721627999665</v>
      </c>
      <c r="BD340" s="31">
        <f>BC340+273</f>
        <v>623.9072162799966</v>
      </c>
      <c r="BF340" s="31">
        <f t="shared" si="23"/>
        <v>1.3859620991253643</v>
      </c>
      <c r="BG340" s="31">
        <f t="shared" si="23"/>
        <v>0.02</v>
      </c>
      <c r="BH340" s="31">
        <f>P340</f>
        <v>16.336199999999998</v>
      </c>
      <c r="BI340" s="31">
        <f>X340</f>
        <v>180.35569444431925</v>
      </c>
      <c r="BJ340" s="31">
        <f>BI340-AU340/BH340</f>
        <v>157.97763303228587</v>
      </c>
      <c r="BK340" s="31">
        <f>CC340</f>
        <v>466.65651395036093</v>
      </c>
      <c r="BQ340" s="31">
        <f t="shared" si="26"/>
        <v>0.7157391567843946</v>
      </c>
      <c r="BR340" s="31">
        <f t="shared" si="26"/>
        <v>0.16442722297719176</v>
      </c>
      <c r="BS340" s="31">
        <f t="shared" si="26"/>
        <v>0.06924498965487691</v>
      </c>
      <c r="BT340" s="31">
        <f t="shared" si="26"/>
        <v>0.052845918704647166</v>
      </c>
      <c r="BU340" s="31">
        <f t="shared" si="26"/>
        <v>0</v>
      </c>
      <c r="BV340" s="31">
        <f>BJ340</f>
        <v>157.97763303228587</v>
      </c>
      <c r="BW340" s="31">
        <f>(0.309701-0.00000555238*(CC340+100)^1.1+0.0000000160444*(CC340+100)^2.2-0.00000000000568436*(CC340+100)^3.3+0.000000000000000856875*(CC340+100)^4.4-0.0000000000000000000482474*(CC340+100)^5.5)*CC340</f>
        <v>147.5556014617652</v>
      </c>
      <c r="BX340" s="31">
        <f>(0.356179-0.0000326182*(CC340+100)^0.8+0.00000129519*(CC340+100)^1.6-0.00000000148934*(CC340+100)^2.4-0.000000000000594678*(CC340+100)^3.2+0.00000000000000129158*(CC340+100)^4)*CC340</f>
        <v>176.2194965541655</v>
      </c>
      <c r="BY340" s="31">
        <f>(0.34584+0.0008688*(CC340+100)^0.82-0.00000109945*(CC340+100)^1.64+0.00000000054341*(CC340+100)^2.46)*CC340</f>
        <v>219.47115004426848</v>
      </c>
      <c r="BZ340" s="31">
        <f>(0.317715-0.000574557*(CC340+100)^0.7+0.0000164618*(CC340+100)^1.4-0.000000119525*(CC340+100)^2.1+0.000000000385185*(CC340+100)^2.8-0.000000000000467365*(CC340+100)^3.5)*CC340</f>
        <v>155.04984106384265</v>
      </c>
      <c r="CA340" s="31">
        <f>0.10364*CC340^1.12+0.26993*IF(CC340&lt;=1300,0,(CC340-1300)^0.9)</f>
        <v>101.11239946904563</v>
      </c>
      <c r="CB340" s="31">
        <f>BQ340*BW340+BR340*BX340+BS340*BY340+BT340*BZ340+0.001*BU340*CA340</f>
        <v>157.97763303228587</v>
      </c>
      <c r="CC340" s="31">
        <f>CC340+2.5*(BV340-CB340)</f>
        <v>466.65651395036093</v>
      </c>
    </row>
    <row r="341" spans="4:81" ht="15.75">
      <c r="D341" s="4">
        <v>5</v>
      </c>
      <c r="E341" s="31">
        <f t="shared" si="24"/>
        <v>16000</v>
      </c>
      <c r="F341" s="31">
        <f t="shared" si="24"/>
        <v>13.449489349675728</v>
      </c>
      <c r="G341" s="31">
        <f t="shared" si="24"/>
        <v>1084</v>
      </c>
      <c r="H341" s="31">
        <f t="shared" si="24"/>
        <v>4.3685</v>
      </c>
      <c r="I341" s="31">
        <f t="shared" si="24"/>
        <v>0.8</v>
      </c>
      <c r="J341" s="31">
        <f t="shared" si="24"/>
        <v>11.3</v>
      </c>
      <c r="K341" s="31">
        <f t="shared" si="24"/>
        <v>18.774</v>
      </c>
      <c r="L341" s="31">
        <f t="shared" si="24"/>
        <v>0.6</v>
      </c>
      <c r="M341" s="31">
        <f t="shared" si="24"/>
        <v>10.1</v>
      </c>
      <c r="N341" s="31">
        <f t="shared" si="24"/>
        <v>0.75</v>
      </c>
      <c r="O341" s="31">
        <f t="shared" si="24"/>
        <v>0.16442722297719176</v>
      </c>
      <c r="P341" s="31">
        <f t="shared" si="24"/>
        <v>16.336199999999998</v>
      </c>
      <c r="T341" s="31">
        <f t="shared" si="25"/>
        <v>0.994</v>
      </c>
      <c r="U341" s="31">
        <f t="shared" si="25"/>
        <v>1.3859620991253643</v>
      </c>
      <c r="V341" s="31">
        <f t="shared" si="25"/>
        <v>0.02</v>
      </c>
      <c r="X341" s="31">
        <f>AC340</f>
        <v>157.97763303228587</v>
      </c>
      <c r="Y341" s="31">
        <f>Y334</f>
        <v>56</v>
      </c>
      <c r="Z341" s="31">
        <f>AE340</f>
        <v>739.6565139503609</v>
      </c>
      <c r="AA341" s="31">
        <f>AA334</f>
        <v>453</v>
      </c>
      <c r="AC341" s="31">
        <f>BJ341</f>
        <v>134.44665054323912</v>
      </c>
      <c r="AD341" s="31">
        <f>BA341</f>
        <v>84.41002994139346</v>
      </c>
      <c r="AE341" s="31">
        <f>BK341+273</f>
        <v>673.3310071423282</v>
      </c>
      <c r="AF341" s="31">
        <f>BD341</f>
        <v>540.8281591935836</v>
      </c>
      <c r="AH341" s="31">
        <f>Z341-AA341</f>
        <v>286.65651395036093</v>
      </c>
      <c r="AI341" s="31">
        <f>(Z341+AA341)/2</f>
        <v>596.3282569751805</v>
      </c>
      <c r="AJ341" s="31">
        <f>Z341-273</f>
        <v>466.65651395036093</v>
      </c>
      <c r="AK341" s="31">
        <f>E341*P341/(3600*J341)*(AJ341+273)/273</f>
        <v>17.408346379959564</v>
      </c>
      <c r="AL341" s="31">
        <f>1.6256-0.045133*(Z341-273)^0.5+0.4512*O341+0.093678*(Z341-273)^0.5*O341+0.00045725*(Z341-273)+1.5688*O341^2-0.12748*(Z341-273)^0.5*O341^1.2</f>
        <v>0.9977732192495793</v>
      </c>
      <c r="AM341" s="31">
        <f>H341*AL341*AK341^I341</f>
        <v>42.85191143441187</v>
      </c>
      <c r="AN341" s="31">
        <f>AA341-273</f>
        <v>180</v>
      </c>
      <c r="AO341" s="31">
        <f>E341*F341/(3600*M341)*(AN341+273)/273</f>
        <v>9.820587249850869</v>
      </c>
      <c r="AP341" s="31">
        <f>2.2357-0.72908*(AA341-173)^0.1-0.0082964*(AA341-173)^0.2</f>
        <v>0.9292666897878644</v>
      </c>
      <c r="AQ341" s="31">
        <f>K341*AP341*AO341^L341</f>
        <v>68.70362597220864</v>
      </c>
      <c r="AT341" s="31">
        <f>N341/(1/AM341+1/AQ341)</f>
        <v>19.793381152292227</v>
      </c>
      <c r="AU341" s="31">
        <f>AT341*G341*AH341/E341</f>
        <v>384.4068361375653</v>
      </c>
      <c r="AW341" s="31">
        <f>V341</f>
        <v>0.02</v>
      </c>
      <c r="AX341" s="31">
        <f>T341</f>
        <v>0.994</v>
      </c>
      <c r="AY341" s="31">
        <f>Y341</f>
        <v>56</v>
      </c>
      <c r="AZ341" s="31">
        <f>AU341*AX341</f>
        <v>382.1003951207399</v>
      </c>
      <c r="BA341" s="31">
        <f>AY341+AZ341/F341</f>
        <v>84.41002994139346</v>
      </c>
      <c r="BC341" s="31">
        <f>3.2584*BA341-0.00087946*BA341^2-0.56112*BA341*AW341</f>
        <v>267.8281591935836</v>
      </c>
      <c r="BD341" s="31">
        <f>BC341+273</f>
        <v>540.8281591935836</v>
      </c>
      <c r="BF341" s="31">
        <f t="shared" si="23"/>
        <v>1.3859620991253643</v>
      </c>
      <c r="BG341" s="31">
        <f t="shared" si="23"/>
        <v>0.02</v>
      </c>
      <c r="BH341" s="31">
        <f>P341</f>
        <v>16.336199999999998</v>
      </c>
      <c r="BI341" s="31">
        <f>X341</f>
        <v>157.97763303228587</v>
      </c>
      <c r="BJ341" s="31">
        <f>BI341-AU341/BH341</f>
        <v>134.44665054323912</v>
      </c>
      <c r="BK341" s="31">
        <f>CC341</f>
        <v>400.33100714232813</v>
      </c>
      <c r="BQ341" s="31">
        <f t="shared" si="26"/>
        <v>0.7157391567843946</v>
      </c>
      <c r="BR341" s="31">
        <f t="shared" si="26"/>
        <v>0.16442722297719176</v>
      </c>
      <c r="BS341" s="31">
        <f t="shared" si="26"/>
        <v>0.06924498965487691</v>
      </c>
      <c r="BT341" s="31">
        <f t="shared" si="26"/>
        <v>0.052845918704647166</v>
      </c>
      <c r="BU341" s="31">
        <f t="shared" si="26"/>
        <v>0</v>
      </c>
      <c r="BV341" s="31">
        <f>BJ341</f>
        <v>134.44665054323912</v>
      </c>
      <c r="BW341" s="31">
        <f>(0.309701-0.00000555238*(CC341+100)^1.1+0.0000000160444*(CC341+100)^2.2-0.00000000000568436*(CC341+100)^3.3+0.000000000000000856875*(CC341+100)^4.4-0.0000000000000000000482474*(CC341+100)^5.5)*CC341</f>
        <v>125.89107052743545</v>
      </c>
      <c r="BX341" s="31">
        <f>(0.356179-0.0000326182*(CC341+100)^0.8+0.00000129519*(CC341+100)^1.6-0.00000000148934*(CC341+100)^2.4-0.000000000000594678*(CC341+100)^3.2+0.00000000000000129158*(CC341+100)^4)*CC341</f>
        <v>149.64395367174015</v>
      </c>
      <c r="BY341" s="31">
        <f>(0.34584+0.0008688*(CC341+100)^0.82-0.00000109945*(CC341+100)^1.64+0.00000000054341*(CC341+100)^2.46)*CC341</f>
        <v>184.49124706218163</v>
      </c>
      <c r="BZ341" s="31">
        <f>(0.317715-0.000574557*(CC341+100)^0.7+0.0000164618*(CC341+100)^1.4-0.000000119525*(CC341+100)^2.1+0.000000000385185*(CC341+100)^2.8-0.000000000000467365*(CC341+100)^3.5)*CC341</f>
        <v>131.7196827316716</v>
      </c>
      <c r="CA341" s="31">
        <f>0.10364*CC341^1.12+0.26993*IF(CC341&lt;=1300,0,(CC341-1300)^0.9)</f>
        <v>85.16025260003605</v>
      </c>
      <c r="CB341" s="31">
        <f>BQ341*BW341+BR341*BX341+BS341*BY341+BT341*BZ341+0.001*BU341*CA341</f>
        <v>134.44665054323912</v>
      </c>
      <c r="CC341" s="31">
        <f>CC341+2.5*(BV341-CB341)</f>
        <v>400.33100714232813</v>
      </c>
    </row>
    <row r="344" spans="4:9" ht="15">
      <c r="D344" s="2" t="s">
        <v>1062</v>
      </c>
      <c r="E344" s="24" t="s">
        <v>1063</v>
      </c>
      <c r="F344" s="24"/>
      <c r="G344" s="24"/>
      <c r="H344" s="24"/>
      <c r="I344" s="24"/>
    </row>
    <row r="346" spans="3:4" ht="15">
      <c r="C346" s="1" t="s">
        <v>1064</v>
      </c>
      <c r="D346" s="1" t="s">
        <v>1065</v>
      </c>
    </row>
    <row r="347" spans="4:13" ht="15.75">
      <c r="D347" s="7" t="s">
        <v>1066</v>
      </c>
      <c r="E347" s="7" t="s">
        <v>1067</v>
      </c>
      <c r="F347" s="7" t="s">
        <v>1010</v>
      </c>
      <c r="G347" s="7" t="s">
        <v>1118</v>
      </c>
      <c r="H347" s="7" t="s">
        <v>1069</v>
      </c>
      <c r="I347" s="7" t="s">
        <v>1070</v>
      </c>
      <c r="J347" s="7" t="s">
        <v>1071</v>
      </c>
      <c r="K347" s="7" t="s">
        <v>1036</v>
      </c>
      <c r="L347" s="1" t="s">
        <v>695</v>
      </c>
      <c r="M347" s="3" t="s">
        <v>1119</v>
      </c>
    </row>
    <row r="348" spans="4:13" ht="15">
      <c r="D348" s="4">
        <v>0.07</v>
      </c>
      <c r="E348" s="4">
        <v>14.492424489795917</v>
      </c>
      <c r="F348" s="4">
        <v>424.3052854375869</v>
      </c>
      <c r="G348" s="4">
        <v>0.07805457263527406</v>
      </c>
      <c r="H348" s="4">
        <v>0.7062914398627405</v>
      </c>
      <c r="I348" s="4">
        <v>0.1828017452608597</v>
      </c>
      <c r="J348" s="4">
        <v>0.03285224224112583</v>
      </c>
      <c r="K348" s="4">
        <v>10</v>
      </c>
      <c r="L348" s="4">
        <v>0.02</v>
      </c>
      <c r="M348" s="4">
        <v>0</v>
      </c>
    </row>
    <row r="349" spans="4:27" ht="15.75">
      <c r="D349" s="7" t="s">
        <v>1072</v>
      </c>
      <c r="E349" s="7" t="s">
        <v>699</v>
      </c>
      <c r="F349" s="7" t="s">
        <v>1011</v>
      </c>
      <c r="G349" s="7" t="s">
        <v>1540</v>
      </c>
      <c r="H349" s="7" t="s">
        <v>644</v>
      </c>
      <c r="I349" s="7" t="s">
        <v>102</v>
      </c>
      <c r="J349" s="7" t="s">
        <v>646</v>
      </c>
      <c r="K349" s="3" t="s">
        <v>706</v>
      </c>
      <c r="L349" s="7" t="s">
        <v>1012</v>
      </c>
      <c r="M349" s="3" t="s">
        <v>1597</v>
      </c>
      <c r="N349" s="3" t="s">
        <v>1600</v>
      </c>
      <c r="O349" s="1" t="s">
        <v>644</v>
      </c>
      <c r="P349" s="1" t="s">
        <v>102</v>
      </c>
      <c r="Q349" s="1" t="s">
        <v>1540</v>
      </c>
      <c r="R349" s="1" t="s">
        <v>646</v>
      </c>
      <c r="S349" s="3" t="s">
        <v>1597</v>
      </c>
      <c r="T349" s="3" t="s">
        <v>369</v>
      </c>
      <c r="U349" s="1" t="s">
        <v>88</v>
      </c>
      <c r="V349" s="1" t="s">
        <v>306</v>
      </c>
      <c r="W349" s="1" t="s">
        <v>1508</v>
      </c>
      <c r="X349" s="1" t="s">
        <v>387</v>
      </c>
      <c r="Y349" s="3" t="s">
        <v>397</v>
      </c>
      <c r="Z349" s="3" t="s">
        <v>404</v>
      </c>
      <c r="AA349" s="3" t="s">
        <v>544</v>
      </c>
    </row>
    <row r="350" spans="4:27" ht="15.75">
      <c r="D350" s="31">
        <f>D348*$D$10/(1-L348)</f>
        <v>0.6792857142857144</v>
      </c>
      <c r="E350" s="31">
        <f>E348+D350</f>
        <v>15.171710204081633</v>
      </c>
      <c r="F350" s="31">
        <f>(F348*E348+K348*D350)/E350</f>
        <v>405.7555202519123</v>
      </c>
      <c r="G350" s="31">
        <f>G348*E348/E350</f>
        <v>0.07455982119245029</v>
      </c>
      <c r="H350" s="31">
        <f>(H348*E348+0.79*D350)/E350</f>
        <v>0.7100393383066067</v>
      </c>
      <c r="I350" s="31">
        <f>(I348*E348+L348*D350)/E350</f>
        <v>0.1755125933901146</v>
      </c>
      <c r="J350" s="31">
        <f>(J348*E348+0.21*D350)/E350</f>
        <v>0.04078371071400611</v>
      </c>
      <c r="K350" s="31">
        <f>1+J350*$E$10/(G350*0.21*$D$10)</f>
        <v>1.2766326530612244</v>
      </c>
      <c r="L350" s="31">
        <f>AA350</f>
        <v>1108.4527492749835</v>
      </c>
      <c r="M350" s="31">
        <f>M348*E348/E350</f>
        <v>0</v>
      </c>
      <c r="N350" s="4">
        <v>16</v>
      </c>
      <c r="O350" s="31">
        <f>H350</f>
        <v>0.7100393383066067</v>
      </c>
      <c r="P350" s="31">
        <f>I350</f>
        <v>0.1755125933901146</v>
      </c>
      <c r="Q350" s="31">
        <f>G350</f>
        <v>0.07455982119245029</v>
      </c>
      <c r="R350" s="31">
        <f>J350</f>
        <v>0.04078371071400611</v>
      </c>
      <c r="S350" s="31">
        <f>M350</f>
        <v>0</v>
      </c>
      <c r="T350" s="31">
        <f>F350</f>
        <v>405.7555202519123</v>
      </c>
      <c r="U350" s="31">
        <f>(0.309701-0.00000555238*(AA350+100)^1.1+0.0000000160444*(AA350+100)^2.2-0.00000000000568436*(AA350+100)^3.3+0.000000000000000856875*(AA350+100)^4.4-0.0000000000000000000482474*(AA350+100)^5.5)*AA350</f>
        <v>371.90104990481063</v>
      </c>
      <c r="V350" s="31">
        <f>(0.356179-0.0000326182*(AA350+100)^0.8+0.00000129519*(AA350+100)^1.6-0.00000000148934*(AA350+100)^2.4-0.000000000000594678*(AA350+100)^3.2+0.00000000000000129158*(AA350+100)^4)*AA350</f>
        <v>463.90409190917467</v>
      </c>
      <c r="W350" s="31">
        <f>(0.34584+0.0008688*(AA350+100)^0.82-0.00000109945*(AA350+100)^1.64+0.00000000054341*(AA350+100)^2.46)*AA350</f>
        <v>592.4802033262059</v>
      </c>
      <c r="X350" s="31">
        <f>(0.317715-0.000574557*(AA350+100)^0.7+0.0000164618*(AA350+100)^1.4-0.000000119525*(AA350+100)^2.1+0.000000000385185*(AA350+100)^2.8-0.000000000000467365*(AA350+100)^3.5)*AA350</f>
        <v>394.6408089126432</v>
      </c>
      <c r="Y350" s="31">
        <f>0.10364*AA350^1.12+0.26993*IF(AA350&lt;=1300,0,(AA350-1300)^0.9)</f>
        <v>266.4468875018492</v>
      </c>
      <c r="Z350" s="31">
        <f>O350*U350+P350*V350+Q350*W350+R350*X350+0.001*S350*Y350</f>
        <v>405.7555202519125</v>
      </c>
      <c r="AA350" s="31">
        <f>AA350+2.5*(T350-Z350)</f>
        <v>1108.4527492749835</v>
      </c>
    </row>
    <row r="351" spans="9:12" ht="15">
      <c r="I351" s="24" t="s">
        <v>835</v>
      </c>
      <c r="J351" s="24">
        <v>16000</v>
      </c>
      <c r="K351" s="24" t="s">
        <v>1048</v>
      </c>
      <c r="L351" s="24">
        <v>1</v>
      </c>
    </row>
    <row r="352" ht="15">
      <c r="F352" s="1" t="s">
        <v>1073</v>
      </c>
    </row>
    <row r="353" ht="15">
      <c r="E353" s="1" t="s">
        <v>1074</v>
      </c>
    </row>
    <row r="354" spans="4:11" ht="15.75">
      <c r="D354" s="7" t="s">
        <v>1006</v>
      </c>
      <c r="E354" s="7" t="s">
        <v>850</v>
      </c>
      <c r="F354" s="7" t="s">
        <v>855</v>
      </c>
      <c r="G354" s="7" t="s">
        <v>860</v>
      </c>
      <c r="H354" s="7" t="s">
        <v>858</v>
      </c>
      <c r="I354" s="3" t="s">
        <v>109</v>
      </c>
      <c r="J354" s="7" t="s">
        <v>1008</v>
      </c>
      <c r="K354" s="7" t="s">
        <v>1075</v>
      </c>
    </row>
    <row r="355" spans="4:11" ht="15.75">
      <c r="D355" s="31">
        <f>AD387</f>
        <v>793.5122923411237</v>
      </c>
      <c r="E355" s="4">
        <v>304.2330528433562</v>
      </c>
      <c r="F355" s="4">
        <v>15000</v>
      </c>
      <c r="G355" s="4">
        <v>152914.56538212864</v>
      </c>
      <c r="H355" s="4">
        <v>167914.56538212864</v>
      </c>
      <c r="I355" s="4">
        <v>100</v>
      </c>
      <c r="J355" s="31">
        <f>(D355*G355+E355*F355)/H355</f>
        <v>749.8044187819451</v>
      </c>
      <c r="K355" s="31">
        <f>3074.3-3.1077*I355-2.3864*10^7*J355^-1.3+22437.3*I355*J355^-1.3+0.0041697*I355^2+4.8476*10^10*J355^-2.6-177649*I355^2*J355^-2.6</f>
        <v>412.4152408069024</v>
      </c>
    </row>
    <row r="357" ht="15">
      <c r="G357" s="1" t="s">
        <v>1041</v>
      </c>
    </row>
    <row r="358" spans="5:73" ht="15.75">
      <c r="E358" s="1" t="s">
        <v>1042</v>
      </c>
      <c r="F358" s="1" t="s">
        <v>1043</v>
      </c>
      <c r="R358" s="1" t="s">
        <v>1044</v>
      </c>
      <c r="S358" s="12" t="s">
        <v>1045</v>
      </c>
      <c r="T358" s="13"/>
      <c r="U358" s="13"/>
      <c r="V358" s="13"/>
      <c r="W358" s="1" t="s">
        <v>1046</v>
      </c>
      <c r="X358" s="12" t="s">
        <v>1047</v>
      </c>
      <c r="Y358" s="13"/>
      <c r="Z358" s="13"/>
      <c r="AA358" s="13"/>
      <c r="BO358" s="1" t="s">
        <v>1109</v>
      </c>
      <c r="BP358" s="14" t="s">
        <v>1110</v>
      </c>
      <c r="BQ358" s="15"/>
      <c r="BR358" s="15"/>
      <c r="BS358" s="15"/>
      <c r="BT358" s="15"/>
      <c r="BU358" s="15"/>
    </row>
    <row r="359" spans="5:73" ht="15.75">
      <c r="E359" s="24" t="s">
        <v>835</v>
      </c>
      <c r="F359" s="24" t="s">
        <v>984</v>
      </c>
      <c r="G359" s="24" t="s">
        <v>997</v>
      </c>
      <c r="H359" s="24" t="s">
        <v>989</v>
      </c>
      <c r="I359" s="24" t="s">
        <v>990</v>
      </c>
      <c r="J359" s="24" t="s">
        <v>815</v>
      </c>
      <c r="K359" s="24" t="s">
        <v>988</v>
      </c>
      <c r="L359" s="24" t="s">
        <v>995</v>
      </c>
      <c r="M359" s="24" t="s">
        <v>1048</v>
      </c>
      <c r="N359" s="24" t="s">
        <v>102</v>
      </c>
      <c r="O359" s="24" t="s">
        <v>647</v>
      </c>
      <c r="P359" s="24" t="s">
        <v>699</v>
      </c>
      <c r="Q359" s="24" t="s">
        <v>985</v>
      </c>
      <c r="S359" s="24" t="s">
        <v>109</v>
      </c>
      <c r="T359" s="24" t="s">
        <v>840</v>
      </c>
      <c r="U359" s="24" t="s">
        <v>706</v>
      </c>
      <c r="V359" s="24" t="s">
        <v>695</v>
      </c>
      <c r="X359" s="24" t="s">
        <v>1011</v>
      </c>
      <c r="Y359" s="24" t="s">
        <v>1008</v>
      </c>
      <c r="Z359" s="24" t="s">
        <v>992</v>
      </c>
      <c r="AA359" s="24" t="s">
        <v>996</v>
      </c>
      <c r="BP359" s="14" t="s">
        <v>1600</v>
      </c>
      <c r="BQ359" s="14" t="s">
        <v>644</v>
      </c>
      <c r="BR359" s="14" t="s">
        <v>102</v>
      </c>
      <c r="BS359" s="14" t="s">
        <v>1540</v>
      </c>
      <c r="BT359" s="14" t="s">
        <v>646</v>
      </c>
      <c r="BU359" s="14" t="s">
        <v>1597</v>
      </c>
    </row>
    <row r="360" spans="5:73" ht="15.75">
      <c r="E360" s="31">
        <f>J351</f>
        <v>16000</v>
      </c>
      <c r="F360" s="31">
        <f>H355</f>
        <v>167914.56538212864</v>
      </c>
      <c r="G360" s="31">
        <f>1600/10</f>
        <v>160</v>
      </c>
      <c r="H360" s="4">
        <v>13.54</v>
      </c>
      <c r="I360" s="4">
        <v>0.64</v>
      </c>
      <c r="J360" s="4">
        <v>0.301</v>
      </c>
      <c r="K360" s="4">
        <v>30.4</v>
      </c>
      <c r="L360" s="4">
        <v>0.005</v>
      </c>
      <c r="M360" s="31">
        <f>L351</f>
        <v>1</v>
      </c>
      <c r="N360" s="31">
        <f>I350</f>
        <v>0.1755125933901146</v>
      </c>
      <c r="O360" s="31">
        <f>N360+G350</f>
        <v>0.2500724145825649</v>
      </c>
      <c r="P360" s="31">
        <f>E350</f>
        <v>15.171710204081633</v>
      </c>
      <c r="Q360" s="4">
        <v>0.1171</v>
      </c>
      <c r="S360" s="31">
        <f>I355</f>
        <v>100</v>
      </c>
      <c r="T360" s="4">
        <v>0.994</v>
      </c>
      <c r="U360" s="31">
        <f>K350</f>
        <v>1.2766326530612244</v>
      </c>
      <c r="V360" s="31">
        <f>L348</f>
        <v>0.02</v>
      </c>
      <c r="X360" s="31">
        <f>F350</f>
        <v>405.7555202519123</v>
      </c>
      <c r="Y360" s="31">
        <f>J355</f>
        <v>749.8044187819451</v>
      </c>
      <c r="Z360" s="31">
        <f>L350+273</f>
        <v>1381.4527492749835</v>
      </c>
      <c r="AA360" s="31">
        <f>K355+273</f>
        <v>685.4152408069024</v>
      </c>
      <c r="BP360" s="31">
        <f>N350</f>
        <v>16</v>
      </c>
      <c r="BQ360" s="31">
        <f>H350</f>
        <v>0.7100393383066067</v>
      </c>
      <c r="BR360" s="31">
        <f>I350</f>
        <v>0.1755125933901146</v>
      </c>
      <c r="BS360" s="31">
        <f>G350</f>
        <v>0.07455982119245029</v>
      </c>
      <c r="BT360" s="31">
        <f>J350</f>
        <v>0.04078371071400611</v>
      </c>
      <c r="BU360" s="31">
        <f>M350</f>
        <v>0</v>
      </c>
    </row>
    <row r="361" spans="28:65" ht="15.75">
      <c r="AB361" s="1" t="s">
        <v>1049</v>
      </c>
      <c r="AC361" s="12" t="s">
        <v>1050</v>
      </c>
      <c r="AD361" s="13"/>
      <c r="AE361" s="13"/>
      <c r="AF361" s="13"/>
      <c r="AI361" s="1" t="s">
        <v>987</v>
      </c>
      <c r="AW361" s="1" t="s">
        <v>1051</v>
      </c>
      <c r="BF361" s="1" t="s">
        <v>1009</v>
      </c>
      <c r="BM361" s="1" t="s">
        <v>1112</v>
      </c>
    </row>
    <row r="362" spans="4:81" ht="15.75">
      <c r="D362" s="5" t="s">
        <v>1052</v>
      </c>
      <c r="E362" s="3" t="s">
        <v>835</v>
      </c>
      <c r="F362" s="3" t="s">
        <v>984</v>
      </c>
      <c r="G362" s="3" t="s">
        <v>997</v>
      </c>
      <c r="H362" s="3" t="s">
        <v>989</v>
      </c>
      <c r="I362" s="3" t="s">
        <v>990</v>
      </c>
      <c r="J362" s="3" t="s">
        <v>815</v>
      </c>
      <c r="K362" s="3" t="s">
        <v>988</v>
      </c>
      <c r="L362" s="3" t="s">
        <v>995</v>
      </c>
      <c r="M362" s="3" t="s">
        <v>1048</v>
      </c>
      <c r="N362" s="3" t="s">
        <v>102</v>
      </c>
      <c r="O362" s="3" t="s">
        <v>647</v>
      </c>
      <c r="P362" s="3" t="s">
        <v>699</v>
      </c>
      <c r="Q362" s="3" t="s">
        <v>985</v>
      </c>
      <c r="S362" s="3" t="s">
        <v>109</v>
      </c>
      <c r="T362" s="3" t="s">
        <v>840</v>
      </c>
      <c r="U362" s="3" t="s">
        <v>706</v>
      </c>
      <c r="V362" s="1" t="s">
        <v>695</v>
      </c>
      <c r="X362" s="3" t="s">
        <v>1011</v>
      </c>
      <c r="Y362" s="3" t="s">
        <v>1008</v>
      </c>
      <c r="Z362" s="3" t="s">
        <v>992</v>
      </c>
      <c r="AA362" s="3" t="s">
        <v>996</v>
      </c>
      <c r="AC362" s="24" t="s">
        <v>1011</v>
      </c>
      <c r="AD362" s="24" t="s">
        <v>1008</v>
      </c>
      <c r="AE362" s="24" t="s">
        <v>992</v>
      </c>
      <c r="AF362" s="24" t="s">
        <v>996</v>
      </c>
      <c r="AH362" s="3" t="s">
        <v>1003</v>
      </c>
      <c r="AI362" s="3" t="s">
        <v>991</v>
      </c>
      <c r="AJ362" s="3" t="s">
        <v>1053</v>
      </c>
      <c r="AK362" s="3" t="s">
        <v>209</v>
      </c>
      <c r="AL362" s="3" t="s">
        <v>206</v>
      </c>
      <c r="AM362" s="3" t="s">
        <v>993</v>
      </c>
      <c r="AN362" s="3" t="s">
        <v>994</v>
      </c>
      <c r="AO362" s="3" t="s">
        <v>820</v>
      </c>
      <c r="AP362" s="3" t="s">
        <v>998</v>
      </c>
      <c r="AQ362" s="3" t="s">
        <v>999</v>
      </c>
      <c r="AR362" s="3" t="s">
        <v>1000</v>
      </c>
      <c r="AS362" s="3" t="s">
        <v>1001</v>
      </c>
      <c r="AT362" s="3" t="s">
        <v>1002</v>
      </c>
      <c r="AU362" s="3" t="s">
        <v>1004</v>
      </c>
      <c r="AW362" s="3" t="s">
        <v>109</v>
      </c>
      <c r="AX362" s="3" t="s">
        <v>840</v>
      </c>
      <c r="AY362" s="3" t="s">
        <v>1006</v>
      </c>
      <c r="AZ362" s="3" t="s">
        <v>1007</v>
      </c>
      <c r="BA362" s="3" t="s">
        <v>1008</v>
      </c>
      <c r="BB362" s="3" t="s">
        <v>865</v>
      </c>
      <c r="BC362" s="3" t="s">
        <v>544</v>
      </c>
      <c r="BD362" s="3" t="s">
        <v>996</v>
      </c>
      <c r="BF362" s="3" t="s">
        <v>706</v>
      </c>
      <c r="BG362" s="1" t="s">
        <v>695</v>
      </c>
      <c r="BH362" s="3" t="s">
        <v>699</v>
      </c>
      <c r="BI362" s="3" t="s">
        <v>1010</v>
      </c>
      <c r="BJ362" s="3" t="s">
        <v>1011</v>
      </c>
      <c r="BK362" s="3" t="s">
        <v>1053</v>
      </c>
      <c r="BL362" s="1" t="s">
        <v>1113</v>
      </c>
      <c r="BM362" s="3" t="s">
        <v>1604</v>
      </c>
      <c r="BN362" s="3" t="s">
        <v>1114</v>
      </c>
      <c r="BO362" s="14" t="s">
        <v>1115</v>
      </c>
      <c r="BP362" s="14" t="s">
        <v>1600</v>
      </c>
      <c r="BQ362" s="14" t="s">
        <v>644</v>
      </c>
      <c r="BR362" s="14" t="s">
        <v>102</v>
      </c>
      <c r="BS362" s="14" t="s">
        <v>1540</v>
      </c>
      <c r="BT362" s="14" t="s">
        <v>646</v>
      </c>
      <c r="BU362" s="14" t="s">
        <v>1597</v>
      </c>
      <c r="BV362" s="14" t="s">
        <v>369</v>
      </c>
      <c r="BW362" s="1" t="s">
        <v>88</v>
      </c>
      <c r="BX362" s="1" t="s">
        <v>306</v>
      </c>
      <c r="BY362" s="1" t="s">
        <v>1508</v>
      </c>
      <c r="BZ362" s="1" t="s">
        <v>387</v>
      </c>
      <c r="CA362" s="3" t="s">
        <v>397</v>
      </c>
      <c r="CB362" s="3" t="s">
        <v>404</v>
      </c>
      <c r="CC362" s="3" t="s">
        <v>544</v>
      </c>
    </row>
    <row r="363" spans="4:81" ht="15.75">
      <c r="D363" s="4">
        <v>1</v>
      </c>
      <c r="E363" s="31">
        <f aca="true" t="shared" si="27" ref="E363:Q363">E360</f>
        <v>16000</v>
      </c>
      <c r="F363" s="31">
        <f t="shared" si="27"/>
        <v>167914.56538212864</v>
      </c>
      <c r="G363" s="31">
        <f t="shared" si="27"/>
        <v>160</v>
      </c>
      <c r="H363" s="31">
        <f t="shared" si="27"/>
        <v>13.54</v>
      </c>
      <c r="I363" s="31">
        <f t="shared" si="27"/>
        <v>0.64</v>
      </c>
      <c r="J363" s="31">
        <f t="shared" si="27"/>
        <v>0.301</v>
      </c>
      <c r="K363" s="31">
        <f t="shared" si="27"/>
        <v>30.4</v>
      </c>
      <c r="L363" s="31">
        <f t="shared" si="27"/>
        <v>0.005</v>
      </c>
      <c r="M363" s="31">
        <f t="shared" si="27"/>
        <v>1</v>
      </c>
      <c r="N363" s="31">
        <f t="shared" si="27"/>
        <v>0.1755125933901146</v>
      </c>
      <c r="O363" s="31">
        <f t="shared" si="27"/>
        <v>0.2500724145825649</v>
      </c>
      <c r="P363" s="31">
        <f t="shared" si="27"/>
        <v>15.171710204081633</v>
      </c>
      <c r="Q363" s="31">
        <f t="shared" si="27"/>
        <v>0.1171</v>
      </c>
      <c r="S363" s="31">
        <f>S360</f>
        <v>100</v>
      </c>
      <c r="T363" s="31">
        <f>T360</f>
        <v>0.994</v>
      </c>
      <c r="U363" s="31">
        <f>U360</f>
        <v>1.2766326530612244</v>
      </c>
      <c r="V363" s="31">
        <f>V360</f>
        <v>0.02</v>
      </c>
      <c r="X363" s="31">
        <f>X360</f>
        <v>405.7555202519123</v>
      </c>
      <c r="Y363" s="31">
        <f>Y360</f>
        <v>749.8044187819451</v>
      </c>
      <c r="Z363" s="31">
        <f>Z360</f>
        <v>1381.4527492749835</v>
      </c>
      <c r="AA363" s="31">
        <f>AA360</f>
        <v>685.4152408069024</v>
      </c>
      <c r="AC363" s="31">
        <f>BJ363</f>
        <v>376.1652377248231</v>
      </c>
      <c r="AD363" s="31">
        <f>BA363</f>
        <v>792.3252404099413</v>
      </c>
      <c r="AE363" s="31">
        <f>BK363+273</f>
        <v>1308.4766303737251</v>
      </c>
      <c r="AF363" s="31">
        <f>BD363</f>
        <v>750.2062253283278</v>
      </c>
      <c r="AH363" s="31">
        <f>Z363-AA363</f>
        <v>696.0375084680811</v>
      </c>
      <c r="AI363" s="31">
        <f>AA363+(L363+1/AN363)*AU363*E363/G363</f>
        <v>935.2082216790242</v>
      </c>
      <c r="AJ363" s="31">
        <f>Z363-273</f>
        <v>1108.4527492749835</v>
      </c>
      <c r="AK363" s="31">
        <f>E363*P363/(3600*K363)*(AJ363+273)/273</f>
        <v>11.224107690503981</v>
      </c>
      <c r="AL363" s="31">
        <f>1.1077-0.002944*AJ363^0.7+0.67936*N363+0.0050854*AJ363^0.7*N363+0.0000089737*AJ363^1.4-2.4659*N363^2-0.000046377*AJ363^1.4*N363^2+23.168*AJ363^-0.1*N363^4</f>
        <v>1.022440409853655</v>
      </c>
      <c r="AM363" s="31">
        <f>H363*AL363*AK363^I363</f>
        <v>65.06595942742631</v>
      </c>
      <c r="AN363" s="31">
        <f>Q363*F363^0.8</f>
        <v>1772.6687587714298</v>
      </c>
      <c r="AO363" s="31">
        <f>((0.78+1.6*N363)/(M363*O363*J363)^0.5-0.1)*(1-0.37*Z363/1000)</f>
        <v>1.8413336373709448</v>
      </c>
      <c r="AP363" s="31">
        <f>AO363*O363+BN363</f>
        <v>0.46046674874944915</v>
      </c>
      <c r="AQ363" s="31">
        <f>1-EXP(-AP363*M363*J363)</f>
        <v>0.1294242384808768</v>
      </c>
      <c r="AR363" s="31">
        <f>0.000000049*(0.82+1)/2*AQ363*Z363^3*(1-(AI363/Z363)^$L$10)/(1-AI363/Z363)</f>
        <v>35.53699782931214</v>
      </c>
      <c r="AS363" s="31">
        <f>AM363+AR363</f>
        <v>100.60295725673845</v>
      </c>
      <c r="AT363" s="31">
        <f>1/(1/AS363+L363+1/AN363)</f>
        <v>64.49870673578576</v>
      </c>
      <c r="AU363" s="31">
        <f>AT363*G363*AH363/E363</f>
        <v>448.9351913578976</v>
      </c>
      <c r="AW363" s="31">
        <f aca="true" t="shared" si="28" ref="AW363:AX367">S363</f>
        <v>100</v>
      </c>
      <c r="AX363" s="31">
        <f t="shared" si="28"/>
        <v>0.994</v>
      </c>
      <c r="AY363" s="31">
        <f>Y363</f>
        <v>749.8044187819451</v>
      </c>
      <c r="AZ363" s="31">
        <f>AU363*AX363</f>
        <v>446.2415802097502</v>
      </c>
      <c r="BA363" s="31">
        <f>AY363+AZ363*E363/F363</f>
        <v>792.3252404099413</v>
      </c>
      <c r="BB363" s="31">
        <f>193.897+1.6984*AW363-0.0066353*AW363^2+0.0000121825*AW363^3</f>
        <v>309.56649999999996</v>
      </c>
      <c r="BC363" s="31">
        <f>3074.3-3.1077*AW363-2.3864*10^7*BA363^-1.3+22437.3*AW363*BA363^-1.3+0.0041697*AW363^2+4.8476*10^10*BA363^-2.6-177649*AW363^2*BA363^-2.6</f>
        <v>477.20622532832783</v>
      </c>
      <c r="BD363" s="31">
        <f>BC363+273</f>
        <v>750.2062253283278</v>
      </c>
      <c r="BF363" s="31">
        <f aca="true" t="shared" si="29" ref="BF363:BG367">U363</f>
        <v>1.2766326530612244</v>
      </c>
      <c r="BG363" s="31">
        <f t="shared" si="29"/>
        <v>0.02</v>
      </c>
      <c r="BH363" s="31">
        <f>P363</f>
        <v>15.171710204081633</v>
      </c>
      <c r="BI363" s="31">
        <f>X363</f>
        <v>405.7555202519123</v>
      </c>
      <c r="BJ363" s="31">
        <f>BI363-AU363/BH363</f>
        <v>376.1652377248231</v>
      </c>
      <c r="BK363" s="31">
        <f>CC363</f>
        <v>1035.4766303737251</v>
      </c>
      <c r="BM363" s="31">
        <f>7*(BP363*BO363)^-(2/3)</f>
        <v>0.008887794985896647</v>
      </c>
      <c r="BN363" s="31">
        <f>BM363*BU363</f>
        <v>0</v>
      </c>
      <c r="BO363" s="31">
        <f>Z363</f>
        <v>1381.4527492749835</v>
      </c>
      <c r="BP363" s="31">
        <f aca="true" t="shared" si="30" ref="BP363:BU363">BP360</f>
        <v>16</v>
      </c>
      <c r="BQ363" s="31">
        <f t="shared" si="30"/>
        <v>0.7100393383066067</v>
      </c>
      <c r="BR363" s="31">
        <f t="shared" si="30"/>
        <v>0.1755125933901146</v>
      </c>
      <c r="BS363" s="31">
        <f t="shared" si="30"/>
        <v>0.07455982119245029</v>
      </c>
      <c r="BT363" s="31">
        <f t="shared" si="30"/>
        <v>0.04078371071400611</v>
      </c>
      <c r="BU363" s="31">
        <f t="shared" si="30"/>
        <v>0</v>
      </c>
      <c r="BV363" s="31">
        <f>BJ363</f>
        <v>376.1652377248231</v>
      </c>
      <c r="BW363" s="31">
        <f>(0.309701-0.00000555238*(CC363+100)^1.1+0.0000000160444*(CC363+100)^2.2-0.00000000000568436*(CC363+100)^3.3+0.000000000000000856875*(CC363+100)^4.4-0.0000000000000000000482474*(CC363+100)^5.5)*CC363</f>
        <v>345.2758853145192</v>
      </c>
      <c r="BX363" s="31">
        <f>(0.356179-0.0000326182*(CC363+100)^0.8+0.00000129519*(CC363+100)^1.6-0.00000000148934*(CC363+100)^2.4-0.000000000000594678*(CC363+100)^3.2+0.00000000000000129158*(CC363+100)^4)*CC363</f>
        <v>428.50459607024374</v>
      </c>
      <c r="BY363" s="31">
        <f>(0.34584+0.0008688*(CC363+100)^0.82-0.00000109945*(CC363+100)^1.64+0.00000000054341*(CC363+100)^2.46)*CC363</f>
        <v>547.873071530461</v>
      </c>
      <c r="BZ363" s="31">
        <f>(0.317715-0.000574557*(CC363+100)^0.7+0.0000164618*(CC363+100)^1.4-0.000000119525*(CC363+100)^2.1+0.000000000385185*(CC363+100)^2.8-0.000000000000467365*(CC363+100)^3.5)*CC363</f>
        <v>366.53127280050154</v>
      </c>
      <c r="CA363" s="31">
        <f>0.10364*CC363^1.12+0.26993*IF(CC363&lt;=1300,0,(CC363-1300)^0.9)</f>
        <v>246.87922323961837</v>
      </c>
      <c r="CB363" s="31">
        <f>BQ363*BW363+BR363*BX363+BS363*BY363+BT363*BZ363+0.001*BU363*CA363</f>
        <v>376.1652377248228</v>
      </c>
      <c r="CC363" s="31">
        <f>CC363+2.5*(BV363-CB363)</f>
        <v>1035.4766303737251</v>
      </c>
    </row>
    <row r="364" spans="4:81" ht="15.75">
      <c r="D364" s="4">
        <v>2</v>
      </c>
      <c r="E364" s="31">
        <f aca="true" t="shared" si="31" ref="E364:Q367">E363</f>
        <v>16000</v>
      </c>
      <c r="F364" s="31">
        <f t="shared" si="31"/>
        <v>167914.56538212864</v>
      </c>
      <c r="G364" s="31">
        <f t="shared" si="31"/>
        <v>160</v>
      </c>
      <c r="H364" s="31">
        <f t="shared" si="31"/>
        <v>13.54</v>
      </c>
      <c r="I364" s="31">
        <f t="shared" si="31"/>
        <v>0.64</v>
      </c>
      <c r="J364" s="31">
        <f t="shared" si="31"/>
        <v>0.301</v>
      </c>
      <c r="K364" s="31">
        <f t="shared" si="31"/>
        <v>30.4</v>
      </c>
      <c r="L364" s="31">
        <f t="shared" si="31"/>
        <v>0.005</v>
      </c>
      <c r="M364" s="31">
        <f t="shared" si="31"/>
        <v>1</v>
      </c>
      <c r="N364" s="31">
        <f t="shared" si="31"/>
        <v>0.1755125933901146</v>
      </c>
      <c r="O364" s="31">
        <f t="shared" si="31"/>
        <v>0.2500724145825649</v>
      </c>
      <c r="P364" s="31">
        <f t="shared" si="31"/>
        <v>15.171710204081633</v>
      </c>
      <c r="Q364" s="31">
        <f t="shared" si="31"/>
        <v>0.1171</v>
      </c>
      <c r="S364" s="31">
        <f aca="true" t="shared" si="32" ref="S364:V367">S363</f>
        <v>100</v>
      </c>
      <c r="T364" s="31">
        <f t="shared" si="32"/>
        <v>0.994</v>
      </c>
      <c r="U364" s="31">
        <f t="shared" si="32"/>
        <v>1.2766326530612244</v>
      </c>
      <c r="V364" s="31">
        <f t="shared" si="32"/>
        <v>0.02</v>
      </c>
      <c r="X364" s="31">
        <f aca="true" t="shared" si="33" ref="X364:AA367">AC363</f>
        <v>376.1652377248231</v>
      </c>
      <c r="Y364" s="31">
        <f t="shared" si="33"/>
        <v>792.3252404099413</v>
      </c>
      <c r="Z364" s="31">
        <f t="shared" si="33"/>
        <v>1308.4766303737251</v>
      </c>
      <c r="AA364" s="31">
        <f t="shared" si="33"/>
        <v>750.2062253283278</v>
      </c>
      <c r="AC364" s="31">
        <f>BJ364</f>
        <v>353.03761601865665</v>
      </c>
      <c r="AD364" s="31">
        <f>BA364</f>
        <v>825.559308937249</v>
      </c>
      <c r="AE364" s="31">
        <f>BK364+273</f>
        <v>1250.9057484498794</v>
      </c>
      <c r="AF364" s="31">
        <f>BD364</f>
        <v>804.4487178355207</v>
      </c>
      <c r="AH364" s="31">
        <f>Z364-AA364</f>
        <v>558.2704050453973</v>
      </c>
      <c r="AI364" s="31">
        <f>AA364+(L364+1/AN364)*AU364*E364/G364</f>
        <v>945.4432110237932</v>
      </c>
      <c r="AJ364" s="31">
        <f>Z364-273</f>
        <v>1035.4766303737251</v>
      </c>
      <c r="AK364" s="31">
        <f>E364*P364/(3600*K364)*(AJ364+273)/273</f>
        <v>10.631187072833471</v>
      </c>
      <c r="AL364" s="31">
        <f>1.1077-0.002944*AJ364^0.7+0.67936*N364+0.0050854*AJ364^0.7*N364+0.0000089737*AJ364^1.4-2.4659*N364^2-0.000046377*AJ364^1.4*N364^2+23.168*AJ364^-0.1*N364^4</f>
        <v>1.0228755827612879</v>
      </c>
      <c r="AM364" s="31">
        <f>H364*AL364*AK364^I364</f>
        <v>62.87149719442635</v>
      </c>
      <c r="AN364" s="31">
        <f>Q364*F364^0.8</f>
        <v>1772.6687587714298</v>
      </c>
      <c r="AO364" s="31">
        <f>((0.78+1.6*N364)/(M364*O364*J364)^0.5-0.1)*(1-0.37*Z364/1000)</f>
        <v>1.9430353495330257</v>
      </c>
      <c r="AP364" s="31">
        <f>AO364*O364+BN364</f>
        <v>0.4858995414770017</v>
      </c>
      <c r="AQ364" s="31">
        <f>1-EXP(-AP364*M364*J364)</f>
        <v>0.1360632872428319</v>
      </c>
      <c r="AR364" s="31">
        <f>0.000000049*(0.82+1)/2*AQ364*Z364^3*(1-(AI364/Z364)^$L$10)/(1-AI364/Z364)</f>
        <v>33.78229706614098</v>
      </c>
      <c r="AS364" s="31">
        <f>AM364+AR364</f>
        <v>96.65379426056732</v>
      </c>
      <c r="AT364" s="31">
        <f>1/(1/AS364+L364+1/AN364)</f>
        <v>62.85226138882506</v>
      </c>
      <c r="AU364" s="31">
        <f>AT364*G364*AH364/E364</f>
        <v>350.8855742355855</v>
      </c>
      <c r="AW364" s="31">
        <f t="shared" si="28"/>
        <v>100</v>
      </c>
      <c r="AX364" s="31">
        <f t="shared" si="28"/>
        <v>0.994</v>
      </c>
      <c r="AY364" s="31">
        <f>Y364</f>
        <v>792.3252404099413</v>
      </c>
      <c r="AZ364" s="31">
        <f>AU364*AX364</f>
        <v>348.780260790172</v>
      </c>
      <c r="BA364" s="31">
        <f>AY364+AZ364*E364/F364</f>
        <v>825.559308937249</v>
      </c>
      <c r="BB364" s="31">
        <f>193.897+1.6984*AW364-0.0066353*AW364^2+0.0000121825*AW364^3</f>
        <v>309.56649999999996</v>
      </c>
      <c r="BC364" s="31">
        <f>3074.3-3.1077*AW364-2.3864*10^7*BA364^-1.3+22437.3*AW364*BA364^-1.3+0.0041697*AW364^2+4.8476*10^10*BA364^-2.6-177649*AW364^2*BA364^-2.6</f>
        <v>531.4487178355207</v>
      </c>
      <c r="BD364" s="31">
        <f>BC364+273</f>
        <v>804.4487178355207</v>
      </c>
      <c r="BF364" s="31">
        <f t="shared" si="29"/>
        <v>1.2766326530612244</v>
      </c>
      <c r="BG364" s="31">
        <f t="shared" si="29"/>
        <v>0.02</v>
      </c>
      <c r="BH364" s="31">
        <f>P364</f>
        <v>15.171710204081633</v>
      </c>
      <c r="BI364" s="31">
        <f>X364</f>
        <v>376.1652377248231</v>
      </c>
      <c r="BJ364" s="31">
        <f>BI364-AU364/BH364</f>
        <v>353.03761601865665</v>
      </c>
      <c r="BK364" s="31">
        <f>CC364</f>
        <v>977.9057484498794</v>
      </c>
      <c r="BM364" s="31">
        <f>7*(BP364*BO364)^-(2/3)</f>
        <v>0.009215256003521044</v>
      </c>
      <c r="BN364" s="31">
        <f>BM364*BU364</f>
        <v>0</v>
      </c>
      <c r="BO364" s="31">
        <f>Z364</f>
        <v>1308.4766303737251</v>
      </c>
      <c r="BP364" s="31">
        <f aca="true" t="shared" si="34" ref="BP364:BU367">BP363</f>
        <v>16</v>
      </c>
      <c r="BQ364" s="31">
        <f t="shared" si="34"/>
        <v>0.7100393383066067</v>
      </c>
      <c r="BR364" s="31">
        <f t="shared" si="34"/>
        <v>0.1755125933901146</v>
      </c>
      <c r="BS364" s="31">
        <f t="shared" si="34"/>
        <v>0.07455982119245029</v>
      </c>
      <c r="BT364" s="31">
        <f t="shared" si="34"/>
        <v>0.04078371071400611</v>
      </c>
      <c r="BU364" s="31">
        <f t="shared" si="34"/>
        <v>0</v>
      </c>
      <c r="BV364" s="31">
        <f>BJ364</f>
        <v>353.03761601865665</v>
      </c>
      <c r="BW364" s="31">
        <f>(0.309701-0.00000555238*(CC364+100)^1.1+0.0000000160444*(CC364+100)^2.2-0.00000000000568436*(CC364+100)^3.3+0.000000000000000856875*(CC364+100)^4.4-0.0000000000000000000482474*(CC364+100)^5.5)*CC364</f>
        <v>324.42621835757063</v>
      </c>
      <c r="BX364" s="31">
        <f>(0.356179-0.0000326182*(CC364+100)^0.8+0.00000129519*(CC364+100)^1.6-0.00000000148934*(CC364+100)^2.4-0.000000000000594678*(CC364+100)^3.2+0.00000000000000129158*(CC364+100)^4)*CC364</f>
        <v>401.033997124866</v>
      </c>
      <c r="BY364" s="31">
        <f>(0.34584+0.0008688*(CC364+100)^0.82-0.00000109945*(CC364+100)^1.64+0.00000000054341*(CC364+100)^2.46)*CC364</f>
        <v>512.9693981628953</v>
      </c>
      <c r="BZ364" s="31">
        <f>(0.317715-0.000574557*(CC364+100)^0.7+0.0000164618*(CC364+100)^1.4-0.000000119525*(CC364+100)^2.1+0.000000000385185*(CC364+100)^2.8-0.000000000000467365*(CC364+100)^3.5)*CC364</f>
        <v>344.471233332244</v>
      </c>
      <c r="CA364" s="31">
        <f>0.10364*CC364^1.12+0.26993*IF(CC364&lt;=1300,0,(CC364-1300)^0.9)</f>
        <v>231.55813511661324</v>
      </c>
      <c r="CB364" s="31">
        <f>BQ364*BW364+BR364*BX364+BS364*BY364+BT364*BZ364+0.001*BU364*CA364</f>
        <v>353.0376160186566</v>
      </c>
      <c r="CC364" s="31">
        <f>CC364+2.5*(BV364-CB364)</f>
        <v>977.9057484498794</v>
      </c>
    </row>
    <row r="365" spans="4:81" ht="15.75">
      <c r="D365" s="4">
        <v>3</v>
      </c>
      <c r="E365" s="31">
        <f t="shared" si="31"/>
        <v>16000</v>
      </c>
      <c r="F365" s="31">
        <f t="shared" si="31"/>
        <v>167914.56538212864</v>
      </c>
      <c r="G365" s="31">
        <f t="shared" si="31"/>
        <v>160</v>
      </c>
      <c r="H365" s="31">
        <f t="shared" si="31"/>
        <v>13.54</v>
      </c>
      <c r="I365" s="31">
        <f t="shared" si="31"/>
        <v>0.64</v>
      </c>
      <c r="J365" s="31">
        <f t="shared" si="31"/>
        <v>0.301</v>
      </c>
      <c r="K365" s="31">
        <f t="shared" si="31"/>
        <v>30.4</v>
      </c>
      <c r="L365" s="31">
        <f t="shared" si="31"/>
        <v>0.005</v>
      </c>
      <c r="M365" s="31">
        <f t="shared" si="31"/>
        <v>1</v>
      </c>
      <c r="N365" s="31">
        <f t="shared" si="31"/>
        <v>0.1755125933901146</v>
      </c>
      <c r="O365" s="31">
        <f t="shared" si="31"/>
        <v>0.2500724145825649</v>
      </c>
      <c r="P365" s="31">
        <f t="shared" si="31"/>
        <v>15.171710204081633</v>
      </c>
      <c r="Q365" s="31">
        <f t="shared" si="31"/>
        <v>0.1171</v>
      </c>
      <c r="S365" s="31">
        <f t="shared" si="32"/>
        <v>100</v>
      </c>
      <c r="T365" s="31">
        <f t="shared" si="32"/>
        <v>0.994</v>
      </c>
      <c r="U365" s="31">
        <f t="shared" si="32"/>
        <v>1.2766326530612244</v>
      </c>
      <c r="V365" s="31">
        <f t="shared" si="32"/>
        <v>0.02</v>
      </c>
      <c r="X365" s="31">
        <f t="shared" si="33"/>
        <v>353.03761601865665</v>
      </c>
      <c r="Y365" s="31">
        <f t="shared" si="33"/>
        <v>825.559308937249</v>
      </c>
      <c r="Z365" s="31">
        <f t="shared" si="33"/>
        <v>1250.9057484498794</v>
      </c>
      <c r="AA365" s="31">
        <f t="shared" si="33"/>
        <v>804.4487178355207</v>
      </c>
      <c r="AC365" s="31">
        <f>BJ365</f>
        <v>334.92472724367644</v>
      </c>
      <c r="AD365" s="31">
        <f>BA365</f>
        <v>851.5872764655616</v>
      </c>
      <c r="AE365" s="31">
        <f>BK365+273</f>
        <v>1205.4553733786688</v>
      </c>
      <c r="AF365" s="31">
        <f>BD365</f>
        <v>848.0969889163212</v>
      </c>
      <c r="AH365" s="31">
        <f>Z365-AA365</f>
        <v>446.4570306143587</v>
      </c>
      <c r="AI365" s="31">
        <f>AA365+(L365+1/AN365)*AU365*E365/G365</f>
        <v>957.3527151246798</v>
      </c>
      <c r="AJ365" s="31">
        <f>Z365-273</f>
        <v>977.9057484498794</v>
      </c>
      <c r="AK365" s="31">
        <f>E365*P365/(3600*K365)*(AJ365+273)/273</f>
        <v>10.163431821059811</v>
      </c>
      <c r="AL365" s="31">
        <f>1.1077-0.002944*AJ365^0.7+0.67936*N365+0.0050854*AJ365^0.7*N365+0.0000089737*AJ365^1.4-2.4659*N365^2-0.000046377*AJ365^1.4*N365^2+23.168*AJ365^-0.1*N365^4</f>
        <v>1.0236625925509157</v>
      </c>
      <c r="AM365" s="31">
        <f>H365*AL365*AK365^I365</f>
        <v>61.133792652246946</v>
      </c>
      <c r="AN365" s="31">
        <f>Q365*F365^0.8</f>
        <v>1772.6687587714298</v>
      </c>
      <c r="AO365" s="31">
        <f>((0.78+1.6*N365)/(M365*O365*J365)^0.5-0.1)*(1-0.37*Z365/1000)</f>
        <v>2.0232678605310195</v>
      </c>
      <c r="AP365" s="31">
        <f>AO365*O365+BN365</f>
        <v>0.5059634792302922</v>
      </c>
      <c r="AQ365" s="31">
        <f>1-EXP(-AP365*M365*J365)</f>
        <v>0.14126508965302637</v>
      </c>
      <c r="AR365" s="31">
        <f>0.000000049*(0.82+1)/2*AQ365*Z365^3*(1-(AI365/Z365)^$L$10)/(1-AI365/Z365)</f>
        <v>32.47910459495476</v>
      </c>
      <c r="AS365" s="31">
        <f>AM365+AR365</f>
        <v>93.61289724720172</v>
      </c>
      <c r="AT365" s="31">
        <f>1/(1/AS365+L365+1/AN365)</f>
        <v>61.55206002123262</v>
      </c>
      <c r="AU365" s="31">
        <f>AT365*G365*AH365/E365</f>
        <v>274.80349945276294</v>
      </c>
      <c r="AW365" s="31">
        <f t="shared" si="28"/>
        <v>100</v>
      </c>
      <c r="AX365" s="31">
        <f t="shared" si="28"/>
        <v>0.994</v>
      </c>
      <c r="AY365" s="31">
        <f>Y365</f>
        <v>825.559308937249</v>
      </c>
      <c r="AZ365" s="31">
        <f>AU365*AX365</f>
        <v>273.1546784560464</v>
      </c>
      <c r="BA365" s="31">
        <f>AY365+AZ365*E365/F365</f>
        <v>851.5872764655616</v>
      </c>
      <c r="BB365" s="31">
        <f>193.897+1.6984*AW365-0.0066353*AW365^2+0.0000121825*AW365^3</f>
        <v>309.56649999999996</v>
      </c>
      <c r="BC365" s="31">
        <f>3074.3-3.1077*AW365-2.3864*10^7*BA365^-1.3+22437.3*AW365*BA365^-1.3+0.0041697*AW365^2+4.8476*10^10*BA365^-2.6-177649*AW365^2*BA365^-2.6</f>
        <v>575.0969889163212</v>
      </c>
      <c r="BD365" s="31">
        <f>BC365+273</f>
        <v>848.0969889163212</v>
      </c>
      <c r="BF365" s="31">
        <f t="shared" si="29"/>
        <v>1.2766326530612244</v>
      </c>
      <c r="BG365" s="31">
        <f t="shared" si="29"/>
        <v>0.02</v>
      </c>
      <c r="BH365" s="31">
        <f>P365</f>
        <v>15.171710204081633</v>
      </c>
      <c r="BI365" s="31">
        <f>X365</f>
        <v>353.03761601865665</v>
      </c>
      <c r="BJ365" s="31">
        <f>BI365-AU365/BH365</f>
        <v>334.92472724367644</v>
      </c>
      <c r="BK365" s="31">
        <f>CC365</f>
        <v>932.4553733786688</v>
      </c>
      <c r="BM365" s="31">
        <f>7*(BP365*BO365)^-(2/3)</f>
        <v>0.009495875079004684</v>
      </c>
      <c r="BN365" s="31">
        <f>BM365*BU365</f>
        <v>0</v>
      </c>
      <c r="BO365" s="31">
        <f>Z365</f>
        <v>1250.9057484498794</v>
      </c>
      <c r="BP365" s="31">
        <f t="shared" si="34"/>
        <v>16</v>
      </c>
      <c r="BQ365" s="31">
        <f t="shared" si="34"/>
        <v>0.7100393383066067</v>
      </c>
      <c r="BR365" s="31">
        <f t="shared" si="34"/>
        <v>0.1755125933901146</v>
      </c>
      <c r="BS365" s="31">
        <f t="shared" si="34"/>
        <v>0.07455982119245029</v>
      </c>
      <c r="BT365" s="31">
        <f t="shared" si="34"/>
        <v>0.04078371071400611</v>
      </c>
      <c r="BU365" s="31">
        <f t="shared" si="34"/>
        <v>0</v>
      </c>
      <c r="BV365" s="31">
        <f>BJ365</f>
        <v>334.92472724367644</v>
      </c>
      <c r="BW365" s="31">
        <f>(0.309701-0.00000555238*(CC365+100)^1.1+0.0000000160444*(CC365+100)^2.2-0.00000000000568436*(CC365+100)^3.3+0.000000000000000856875*(CC365+100)^4.4-0.0000000000000000000482474*(CC365+100)^5.5)*CC365</f>
        <v>308.0735101157624</v>
      </c>
      <c r="BX365" s="31">
        <f>(0.356179-0.0000326182*(CC365+100)^0.8+0.00000129519*(CC365+100)^1.6-0.00000000148934*(CC365+100)^2.4-0.000000000000594678*(CC365+100)^3.2+0.00000000000000129158*(CC365+100)^4)*CC365</f>
        <v>379.6396384485348</v>
      </c>
      <c r="BY365" s="31">
        <f>(0.34584+0.0008688*(CC365+100)^0.82-0.00000109945*(CC365+100)^1.64+0.00000000054341*(CC365+100)^2.46)*CC365</f>
        <v>485.6122328591592</v>
      </c>
      <c r="BZ365" s="31">
        <f>(0.317715-0.000574557*(CC365+100)^0.7+0.0000164618*(CC365+100)^1.4-0.000000119525*(CC365+100)^2.1+0.000000000385185*(CC365+100)^2.8-0.000000000000467365*(CC365+100)^3.5)*CC365</f>
        <v>327.13348023213433</v>
      </c>
      <c r="CA365" s="31">
        <f>0.10364*CC365^1.12+0.26993*IF(CC365&lt;=1300,0,(CC365-1300)^0.9)</f>
        <v>219.53856796008316</v>
      </c>
      <c r="CB365" s="31">
        <f>BQ365*BW365+BR365*BX365+BS365*BY365+BT365*BZ365+0.001*BU365*CA365</f>
        <v>334.92472724367633</v>
      </c>
      <c r="CC365" s="31">
        <f>CC365+2.5*(BV365-CB365)</f>
        <v>932.4553733786688</v>
      </c>
    </row>
    <row r="366" spans="4:81" ht="15.75">
      <c r="D366" s="4">
        <v>4</v>
      </c>
      <c r="E366" s="31">
        <f t="shared" si="31"/>
        <v>16000</v>
      </c>
      <c r="F366" s="31">
        <f t="shared" si="31"/>
        <v>167914.56538212864</v>
      </c>
      <c r="G366" s="31">
        <f t="shared" si="31"/>
        <v>160</v>
      </c>
      <c r="H366" s="31">
        <f t="shared" si="31"/>
        <v>13.54</v>
      </c>
      <c r="I366" s="31">
        <f t="shared" si="31"/>
        <v>0.64</v>
      </c>
      <c r="J366" s="31">
        <f t="shared" si="31"/>
        <v>0.301</v>
      </c>
      <c r="K366" s="31">
        <f t="shared" si="31"/>
        <v>30.4</v>
      </c>
      <c r="L366" s="31">
        <f t="shared" si="31"/>
        <v>0.005</v>
      </c>
      <c r="M366" s="31">
        <f t="shared" si="31"/>
        <v>1</v>
      </c>
      <c r="N366" s="31">
        <f t="shared" si="31"/>
        <v>0.1755125933901146</v>
      </c>
      <c r="O366" s="31">
        <f t="shared" si="31"/>
        <v>0.2500724145825649</v>
      </c>
      <c r="P366" s="31">
        <f t="shared" si="31"/>
        <v>15.171710204081633</v>
      </c>
      <c r="Q366" s="31">
        <f t="shared" si="31"/>
        <v>0.1171</v>
      </c>
      <c r="S366" s="31">
        <f t="shared" si="32"/>
        <v>100</v>
      </c>
      <c r="T366" s="31">
        <f t="shared" si="32"/>
        <v>0.994</v>
      </c>
      <c r="U366" s="31">
        <f t="shared" si="32"/>
        <v>1.2766326530612244</v>
      </c>
      <c r="V366" s="31">
        <f t="shared" si="32"/>
        <v>0.02</v>
      </c>
      <c r="X366" s="31">
        <f t="shared" si="33"/>
        <v>334.92472724367644</v>
      </c>
      <c r="Y366" s="31">
        <f t="shared" si="33"/>
        <v>851.5872764655616</v>
      </c>
      <c r="Z366" s="31">
        <f t="shared" si="33"/>
        <v>1205.4553733786688</v>
      </c>
      <c r="AA366" s="31">
        <f t="shared" si="33"/>
        <v>848.0969889163212</v>
      </c>
      <c r="AC366" s="31">
        <f>BJ366</f>
        <v>320.67015176085243</v>
      </c>
      <c r="AD366" s="31">
        <f>BA366</f>
        <v>872.0709018224024</v>
      </c>
      <c r="AE366" s="31">
        <f>BK366+273</f>
        <v>1169.4438342097897</v>
      </c>
      <c r="AF366" s="31">
        <f>BD366</f>
        <v>882.7974393840315</v>
      </c>
      <c r="AH366" s="31">
        <f>Z366-AA366</f>
        <v>357.35838446234766</v>
      </c>
      <c r="AI366" s="31">
        <f>AA366+(L366+1/AN366)*AU366*E366/G366</f>
        <v>968.4301725438023</v>
      </c>
      <c r="AJ366" s="31">
        <f>Z366-273</f>
        <v>932.4553733786688</v>
      </c>
      <c r="AK366" s="31">
        <f>E366*P366/(3600*K366)*(AJ366+273)/273</f>
        <v>9.794153968711408</v>
      </c>
      <c r="AL366" s="31">
        <f>1.1077-0.002944*AJ366^0.7+0.67936*N366+0.0050854*AJ366^0.7*N366+0.0000089737*AJ366^1.4-2.4659*N366^2-0.000046377*AJ366^1.4*N366^2+23.168*AJ366^-0.1*N366^4</f>
        <v>1.0245755072802496</v>
      </c>
      <c r="AM366" s="31">
        <f>H366*AL366*AK366^I366</f>
        <v>59.755992958113254</v>
      </c>
      <c r="AN366" s="31">
        <f>Q366*F366^0.8</f>
        <v>1772.6687587714298</v>
      </c>
      <c r="AO366" s="31">
        <f>((0.78+1.6*N366)/(M366*O366*J366)^0.5-0.1)*(1-0.37*Z366/1000)</f>
        <v>2.086608868969756</v>
      </c>
      <c r="AP366" s="31">
        <f>AO366*O366+BN366</f>
        <v>0.5218033181526617</v>
      </c>
      <c r="AQ366" s="31">
        <f>1-EXP(-AP366*M366*J366)</f>
        <v>0.1453496138554463</v>
      </c>
      <c r="AR366" s="31">
        <f>0.000000049*(0.82+1)/2*AQ366*Z366^3*(1-(AI366/Z366)^$L$10)/(1-AI366/Z366)</f>
        <v>31.485903492502633</v>
      </c>
      <c r="AS366" s="31">
        <f>AM366+AR366</f>
        <v>91.24189645061588</v>
      </c>
      <c r="AT366" s="31">
        <f>1/(1/AS366+L366+1/AN366)</f>
        <v>60.51803951178865</v>
      </c>
      <c r="AU366" s="31">
        <f>AT366*G366*AH366/E366</f>
        <v>216.26628830761314</v>
      </c>
      <c r="AW366" s="31">
        <f t="shared" si="28"/>
        <v>100</v>
      </c>
      <c r="AX366" s="31">
        <f t="shared" si="28"/>
        <v>0.994</v>
      </c>
      <c r="AY366" s="31">
        <f>Y366</f>
        <v>851.5872764655616</v>
      </c>
      <c r="AZ366" s="31">
        <f>AU366*AX366</f>
        <v>214.96869057776746</v>
      </c>
      <c r="BA366" s="31">
        <f>AY366+AZ366*E366/F366</f>
        <v>872.0709018224024</v>
      </c>
      <c r="BB366" s="31">
        <f>193.897+1.6984*AW366-0.0066353*AW366^2+0.0000121825*AW366^3</f>
        <v>309.56649999999996</v>
      </c>
      <c r="BC366" s="31">
        <f>3074.3-3.1077*AW366-2.3864*10^7*BA366^-1.3+22437.3*AW366*BA366^-1.3+0.0041697*AW366^2+4.8476*10^10*BA366^-2.6-177649*AW366^2*BA366^-2.6</f>
        <v>609.7974393840315</v>
      </c>
      <c r="BD366" s="31">
        <f>BC366+273</f>
        <v>882.7974393840315</v>
      </c>
      <c r="BF366" s="31">
        <f t="shared" si="29"/>
        <v>1.2766326530612244</v>
      </c>
      <c r="BG366" s="31">
        <f t="shared" si="29"/>
        <v>0.02</v>
      </c>
      <c r="BH366" s="31">
        <f>P366</f>
        <v>15.171710204081633</v>
      </c>
      <c r="BI366" s="31">
        <f>X366</f>
        <v>334.92472724367644</v>
      </c>
      <c r="BJ366" s="31">
        <f>BI366-AU366/BH366</f>
        <v>320.67015176085243</v>
      </c>
      <c r="BK366" s="31">
        <f>CC366</f>
        <v>896.4438342097898</v>
      </c>
      <c r="BM366" s="31">
        <f>7*(BP366*BO366)^-(2/3)</f>
        <v>0.009733087479907575</v>
      </c>
      <c r="BN366" s="31">
        <f>BM366*BU366</f>
        <v>0</v>
      </c>
      <c r="BO366" s="31">
        <f>Z366</f>
        <v>1205.4553733786688</v>
      </c>
      <c r="BP366" s="31">
        <f t="shared" si="34"/>
        <v>16</v>
      </c>
      <c r="BQ366" s="31">
        <f t="shared" si="34"/>
        <v>0.7100393383066067</v>
      </c>
      <c r="BR366" s="31">
        <f t="shared" si="34"/>
        <v>0.1755125933901146</v>
      </c>
      <c r="BS366" s="31">
        <f t="shared" si="34"/>
        <v>0.07455982119245029</v>
      </c>
      <c r="BT366" s="31">
        <f t="shared" si="34"/>
        <v>0.04078371071400611</v>
      </c>
      <c r="BU366" s="31">
        <f t="shared" si="34"/>
        <v>0</v>
      </c>
      <c r="BV366" s="31">
        <f>BJ366</f>
        <v>320.67015176085243</v>
      </c>
      <c r="BW366" s="31">
        <f>(0.309701-0.00000555238*(CC366+100)^1.1+0.0000000160444*(CC366+100)^2.2-0.00000000000568436*(CC366+100)^3.3+0.000000000000000856875*(CC366+100)^4.4-0.0000000000000000000482474*(CC366+100)^5.5)*CC366</f>
        <v>295.189622638841</v>
      </c>
      <c r="BX366" s="31">
        <f>(0.356179-0.0000326182*(CC366+100)^0.8+0.00000129519*(CC366+100)^1.6-0.00000000148934*(CC366+100)^2.4-0.000000000000594678*(CC366+100)^3.2+0.00000000000000129158*(CC366+100)^4)*CC366</f>
        <v>362.8756867856713</v>
      </c>
      <c r="BY366" s="31">
        <f>(0.34584+0.0008688*(CC366+100)^0.82-0.00000109945*(CC366+100)^1.64+0.00000000054341*(CC366+100)^2.46)*CC366</f>
        <v>464.0710269787062</v>
      </c>
      <c r="BZ366" s="31">
        <f>(0.317715-0.000574557*(CC366+100)^0.7+0.0000164618*(CC366+100)^1.4-0.000000119525*(CC366+100)^2.1+0.000000000385185*(CC366+100)^2.8-0.000000000000467365*(CC366+100)^3.5)*CC366</f>
        <v>313.44871630087806</v>
      </c>
      <c r="CA366" s="31">
        <f>0.10364*CC366^1.12+0.26993*IF(CC366&lt;=1300,0,(CC366-1300)^0.9)</f>
        <v>210.06478741609752</v>
      </c>
      <c r="CB366" s="31">
        <f>BQ366*BW366+BR366*BX366+BS366*BY366+BT366*BZ366+0.001*BU366*CA366</f>
        <v>320.6701517608524</v>
      </c>
      <c r="CC366" s="31">
        <f>CC366+2.5*(BV366-CB366)</f>
        <v>896.4438342097898</v>
      </c>
    </row>
    <row r="367" spans="4:81" ht="15.75">
      <c r="D367" s="4">
        <v>5</v>
      </c>
      <c r="E367" s="31">
        <f t="shared" si="31"/>
        <v>16000</v>
      </c>
      <c r="F367" s="31">
        <f t="shared" si="31"/>
        <v>167914.56538212864</v>
      </c>
      <c r="G367" s="31">
        <f t="shared" si="31"/>
        <v>160</v>
      </c>
      <c r="H367" s="31">
        <f t="shared" si="31"/>
        <v>13.54</v>
      </c>
      <c r="I367" s="31">
        <f t="shared" si="31"/>
        <v>0.64</v>
      </c>
      <c r="J367" s="31">
        <f t="shared" si="31"/>
        <v>0.301</v>
      </c>
      <c r="K367" s="31">
        <f t="shared" si="31"/>
        <v>30.4</v>
      </c>
      <c r="L367" s="31">
        <f t="shared" si="31"/>
        <v>0.005</v>
      </c>
      <c r="M367" s="31">
        <f t="shared" si="31"/>
        <v>1</v>
      </c>
      <c r="N367" s="31">
        <f t="shared" si="31"/>
        <v>0.1755125933901146</v>
      </c>
      <c r="O367" s="31">
        <f t="shared" si="31"/>
        <v>0.2500724145825649</v>
      </c>
      <c r="P367" s="31">
        <f t="shared" si="31"/>
        <v>15.171710204081633</v>
      </c>
      <c r="Q367" s="31">
        <f t="shared" si="31"/>
        <v>0.1171</v>
      </c>
      <c r="S367" s="31">
        <f t="shared" si="32"/>
        <v>100</v>
      </c>
      <c r="T367" s="31">
        <f t="shared" si="32"/>
        <v>0.994</v>
      </c>
      <c r="U367" s="31">
        <f t="shared" si="32"/>
        <v>1.2766326530612244</v>
      </c>
      <c r="V367" s="31">
        <f t="shared" si="32"/>
        <v>0.02</v>
      </c>
      <c r="X367" s="31">
        <f t="shared" si="33"/>
        <v>320.67015176085243</v>
      </c>
      <c r="Y367" s="31">
        <f t="shared" si="33"/>
        <v>872.0709018224024</v>
      </c>
      <c r="Z367" s="31">
        <f t="shared" si="33"/>
        <v>1169.4438342097897</v>
      </c>
      <c r="AA367" s="31">
        <f t="shared" si="33"/>
        <v>882.7974393840315</v>
      </c>
      <c r="AC367" s="31">
        <f>BJ367</f>
        <v>309.39232708718504</v>
      </c>
      <c r="AD367" s="31">
        <f>BA367</f>
        <v>888.2769779510037</v>
      </c>
      <c r="AE367" s="31">
        <f>BK367+273</f>
        <v>1140.7911947194114</v>
      </c>
      <c r="AF367" s="31">
        <f>BD367</f>
        <v>910.3265950164954</v>
      </c>
      <c r="AH367" s="31">
        <f>Z367-AA367</f>
        <v>286.6463948257582</v>
      </c>
      <c r="AI367" s="31">
        <f>AA367+(L367+1/AN367)*AU367*E367/G367</f>
        <v>978.0017160045581</v>
      </c>
      <c r="AJ367" s="31">
        <f>Z367-273</f>
        <v>896.4438342097897</v>
      </c>
      <c r="AK367" s="31">
        <f>E367*P367/(3600*K367)*(AJ367+273)/273</f>
        <v>9.501565319592258</v>
      </c>
      <c r="AL367" s="31">
        <f>1.1077-0.002944*AJ367^0.7+0.67936*N367+0.0050854*AJ367^0.7*N367+0.0000089737*AJ367^1.4-2.4659*N367^2-0.000046377*AJ367^1.4*N367^2+23.168*AJ367^-0.1*N367^4</f>
        <v>1.025489905230298</v>
      </c>
      <c r="AM367" s="31">
        <f>H367*AL367*AK367^I367</f>
        <v>58.659580828482554</v>
      </c>
      <c r="AN367" s="31">
        <f>Q367*F367^0.8</f>
        <v>1772.6687587714298</v>
      </c>
      <c r="AO367" s="31">
        <f>((0.78+1.6*N367)/(M367*O367*J367)^0.5-0.1)*(1-0.37*Z367/1000)</f>
        <v>2.1367956320671797</v>
      </c>
      <c r="AP367" s="31">
        <f>AO367*O367+BN367</f>
        <v>0.5343536431805176</v>
      </c>
      <c r="AQ367" s="31">
        <f>1-EXP(-AP367*M367*J367)</f>
        <v>0.1485720915098725</v>
      </c>
      <c r="AR367" s="31">
        <f>0.000000049*(0.82+1)/2*AQ367*Z367^3*(1-(AI367/Z367)^$L$10)/(1-AI367/Z367)</f>
        <v>30.716722194812792</v>
      </c>
      <c r="AS367" s="31">
        <f>AM367+AR367</f>
        <v>89.37630302329535</v>
      </c>
      <c r="AT367" s="31">
        <f>1/(1/AS367+L367+1/AN367)</f>
        <v>59.6916238159321</v>
      </c>
      <c r="AU367" s="31">
        <f>AT367*G367*AH367/E367</f>
        <v>171.10388768132302</v>
      </c>
      <c r="AW367" s="31">
        <f t="shared" si="28"/>
        <v>100</v>
      </c>
      <c r="AX367" s="31">
        <f t="shared" si="28"/>
        <v>0.994</v>
      </c>
      <c r="AY367" s="31">
        <f>Y367</f>
        <v>872.0709018224024</v>
      </c>
      <c r="AZ367" s="31">
        <f>AU367*AX367</f>
        <v>170.0772643552351</v>
      </c>
      <c r="BA367" s="31">
        <f>AY367+AZ367*E367/F367</f>
        <v>888.2769779510037</v>
      </c>
      <c r="BB367" s="31">
        <f>193.897+1.6984*AW367-0.0066353*AW367^2+0.0000121825*AW367^3</f>
        <v>309.56649999999996</v>
      </c>
      <c r="BC367" s="31">
        <f>3074.3-3.1077*AW367-2.3864*10^7*BA367^-1.3+22437.3*AW367*BA367^-1.3+0.0041697*AW367^2+4.8476*10^10*BA367^-2.6-177649*AW367^2*BA367^-2.6</f>
        <v>637.3265950164954</v>
      </c>
      <c r="BD367" s="31">
        <f>BC367+273</f>
        <v>910.3265950164954</v>
      </c>
      <c r="BF367" s="31">
        <f t="shared" si="29"/>
        <v>1.2766326530612244</v>
      </c>
      <c r="BG367" s="31">
        <f t="shared" si="29"/>
        <v>0.02</v>
      </c>
      <c r="BH367" s="31">
        <f>P367</f>
        <v>15.171710204081633</v>
      </c>
      <c r="BI367" s="31">
        <f>X367</f>
        <v>320.67015176085243</v>
      </c>
      <c r="BJ367" s="31">
        <f>BI367-AU367/BH367</f>
        <v>309.39232708718504</v>
      </c>
      <c r="BK367" s="31">
        <f>CC367</f>
        <v>867.7911947194114</v>
      </c>
      <c r="BM367" s="31">
        <f>7*(BP367*BO367)^-(2/3)</f>
        <v>0.009931887828288707</v>
      </c>
      <c r="BN367" s="31">
        <f>BM367*BU367</f>
        <v>0</v>
      </c>
      <c r="BO367" s="31">
        <f>Z367</f>
        <v>1169.4438342097897</v>
      </c>
      <c r="BP367" s="31">
        <f t="shared" si="34"/>
        <v>16</v>
      </c>
      <c r="BQ367" s="31">
        <f t="shared" si="34"/>
        <v>0.7100393383066067</v>
      </c>
      <c r="BR367" s="31">
        <f t="shared" si="34"/>
        <v>0.1755125933901146</v>
      </c>
      <c r="BS367" s="31">
        <f t="shared" si="34"/>
        <v>0.07455982119245029</v>
      </c>
      <c r="BT367" s="31">
        <f t="shared" si="34"/>
        <v>0.04078371071400611</v>
      </c>
      <c r="BU367" s="31">
        <f t="shared" si="34"/>
        <v>0</v>
      </c>
      <c r="BV367" s="31">
        <f>BJ367</f>
        <v>309.39232708718504</v>
      </c>
      <c r="BW367" s="31">
        <f>(0.309701-0.00000555238*(CC367+100)^1.1+0.0000000160444*(CC367+100)^2.2-0.00000000000568436*(CC367+100)^3.3+0.000000000000000856875*(CC367+100)^4.4-0.0000000000000000000482474*(CC367+100)^5.5)*CC367</f>
        <v>284.9872372040305</v>
      </c>
      <c r="BX367" s="31">
        <f>(0.356179-0.0000326182*(CC367+100)^0.8+0.00000129519*(CC367+100)^1.6-0.00000000148934*(CC367+100)^2.4-0.000000000000594678*(CC367+100)^3.2+0.00000000000000129158*(CC367+100)^4)*CC367</f>
        <v>349.65755444366016</v>
      </c>
      <c r="BY367" s="31">
        <f>(0.34584+0.0008688*(CC367+100)^0.82-0.00000109945*(CC367+100)^1.64+0.00000000054341*(CC367+100)^2.46)*CC367</f>
        <v>447.02231980381174</v>
      </c>
      <c r="BZ367" s="31">
        <f>(0.317715-0.000574557*(CC367+100)^0.7+0.0000164618*(CC367+100)^1.4-0.000000119525*(CC367+100)^2.1+0.000000000385185*(CC367+100)^2.8-0.000000000000467365*(CC367+100)^3.5)*CC367</f>
        <v>302.5955492644887</v>
      </c>
      <c r="CA367" s="31">
        <f>0.10364*CC367^1.12+0.26993*IF(CC367&lt;=1300,0,(CC367-1300)^0.9)</f>
        <v>202.5594327508381</v>
      </c>
      <c r="CB367" s="31">
        <f>BQ367*BW367+BR367*BX367+BS367*BY367+BT367*BZ367+0.001*BU367*CA367</f>
        <v>309.392327087185</v>
      </c>
      <c r="CC367" s="31">
        <f>CC367+2.5*(BV367-CB367)</f>
        <v>867.7911947194114</v>
      </c>
    </row>
    <row r="368" ht="15">
      <c r="F368" s="1" t="s">
        <v>1076</v>
      </c>
    </row>
    <row r="370" spans="5:6" ht="15.75">
      <c r="E370" s="2" t="s">
        <v>1077</v>
      </c>
      <c r="F370" s="12" t="s">
        <v>1078</v>
      </c>
    </row>
    <row r="371" spans="4:5" ht="15">
      <c r="D371" s="2" t="s">
        <v>1079</v>
      </c>
      <c r="E371" s="1" t="s">
        <v>1080</v>
      </c>
    </row>
    <row r="372" spans="4:10" ht="15.75">
      <c r="D372" s="18"/>
      <c r="E372" s="18"/>
      <c r="F372" s="18"/>
      <c r="G372" s="7" t="s">
        <v>984</v>
      </c>
      <c r="H372" s="3" t="s">
        <v>109</v>
      </c>
      <c r="I372" s="7" t="s">
        <v>1008</v>
      </c>
      <c r="J372" s="7" t="s">
        <v>1075</v>
      </c>
    </row>
    <row r="373" spans="7:10" ht="15.75">
      <c r="G373" s="31">
        <f>G355</f>
        <v>152914.56538212864</v>
      </c>
      <c r="H373" s="3">
        <v>100</v>
      </c>
      <c r="I373" s="4">
        <v>684.0812730222092</v>
      </c>
      <c r="J373" s="4">
        <v>332.63771714387</v>
      </c>
    </row>
    <row r="375" ht="15">
      <c r="D375" s="1" t="s">
        <v>1081</v>
      </c>
    </row>
    <row r="376" spans="4:13" ht="15.75">
      <c r="D376" s="7" t="s">
        <v>1066</v>
      </c>
      <c r="E376" s="7" t="s">
        <v>1067</v>
      </c>
      <c r="F376" s="7" t="s">
        <v>1010</v>
      </c>
      <c r="G376" s="7" t="s">
        <v>1118</v>
      </c>
      <c r="H376" s="7" t="s">
        <v>1069</v>
      </c>
      <c r="I376" s="7" t="s">
        <v>1070</v>
      </c>
      <c r="J376" s="7" t="s">
        <v>1071</v>
      </c>
      <c r="K376" s="7" t="s">
        <v>1036</v>
      </c>
      <c r="L376" s="1" t="s">
        <v>695</v>
      </c>
      <c r="M376" s="3" t="s">
        <v>1119</v>
      </c>
    </row>
    <row r="377" spans="4:13" ht="15.75">
      <c r="D377" s="4">
        <v>0.04</v>
      </c>
      <c r="E377" s="31">
        <f>E350</f>
        <v>15.171710204081633</v>
      </c>
      <c r="F377" s="31">
        <f>AC367</f>
        <v>309.39232708718504</v>
      </c>
      <c r="G377" s="31">
        <f>G350</f>
        <v>0.07455982119245029</v>
      </c>
      <c r="H377" s="31">
        <f>H350</f>
        <v>0.7100393383066067</v>
      </c>
      <c r="I377" s="31">
        <f>I350</f>
        <v>0.1755125933901146</v>
      </c>
      <c r="J377" s="31">
        <f>J350</f>
        <v>0.04078371071400611</v>
      </c>
      <c r="K377" s="31">
        <f>K348</f>
        <v>10</v>
      </c>
      <c r="L377" s="31">
        <f>L348</f>
        <v>0.02</v>
      </c>
      <c r="M377" s="4">
        <v>0</v>
      </c>
    </row>
    <row r="378" spans="4:27" ht="15.75">
      <c r="D378" s="7" t="s">
        <v>1072</v>
      </c>
      <c r="E378" s="7" t="s">
        <v>699</v>
      </c>
      <c r="F378" s="7" t="s">
        <v>1011</v>
      </c>
      <c r="G378" s="7" t="s">
        <v>1540</v>
      </c>
      <c r="H378" s="7" t="s">
        <v>644</v>
      </c>
      <c r="I378" s="7" t="s">
        <v>102</v>
      </c>
      <c r="J378" s="7" t="s">
        <v>646</v>
      </c>
      <c r="K378" s="3" t="s">
        <v>706</v>
      </c>
      <c r="L378" s="7" t="s">
        <v>1012</v>
      </c>
      <c r="M378" s="3" t="s">
        <v>1597</v>
      </c>
      <c r="N378" s="3" t="s">
        <v>1600</v>
      </c>
      <c r="O378" s="1" t="s">
        <v>644</v>
      </c>
      <c r="P378" s="1" t="s">
        <v>102</v>
      </c>
      <c r="Q378" s="1" t="s">
        <v>1540</v>
      </c>
      <c r="R378" s="1" t="s">
        <v>646</v>
      </c>
      <c r="S378" s="3" t="s">
        <v>1597</v>
      </c>
      <c r="T378" s="3" t="s">
        <v>369</v>
      </c>
      <c r="U378" s="1" t="s">
        <v>88</v>
      </c>
      <c r="V378" s="1" t="s">
        <v>306</v>
      </c>
      <c r="W378" s="1" t="s">
        <v>1508</v>
      </c>
      <c r="X378" s="1" t="s">
        <v>387</v>
      </c>
      <c r="Y378" s="3" t="s">
        <v>397</v>
      </c>
      <c r="Z378" s="3" t="s">
        <v>404</v>
      </c>
      <c r="AA378" s="3" t="s">
        <v>544</v>
      </c>
    </row>
    <row r="379" spans="4:27" ht="15.75">
      <c r="D379" s="31">
        <f>D377*$D$10/(1-L377)</f>
        <v>0.38816326530612244</v>
      </c>
      <c r="E379" s="31">
        <f>E377+D379</f>
        <v>15.559873469387755</v>
      </c>
      <c r="F379" s="31">
        <f>(F377*E377+K377*D379)/E379</f>
        <v>301.9235579150966</v>
      </c>
      <c r="G379" s="31">
        <f>G377*E377/E379</f>
        <v>0.07269981997125521</v>
      </c>
      <c r="H379" s="31">
        <f>(H377*E377+0.79*D379)/E379</f>
        <v>0.7120340712072314</v>
      </c>
      <c r="I379" s="31">
        <f>(I377*E377+L377*D379)/E379</f>
        <v>0.17163310965489723</v>
      </c>
      <c r="J379" s="31">
        <f>(J377*E377+0.21*D379)/E379</f>
        <v>0.04500505271408481</v>
      </c>
      <c r="K379" s="31">
        <f>1+J379*$E$10/(G379*0.21*$D$10)</f>
        <v>1.3130758017492712</v>
      </c>
      <c r="L379" s="31">
        <f>AA379</f>
        <v>849.5812889464446</v>
      </c>
      <c r="M379" s="31">
        <f>M377*E377/E379</f>
        <v>0</v>
      </c>
      <c r="N379" s="31">
        <f>N350</f>
        <v>16</v>
      </c>
      <c r="O379" s="31">
        <f>H379</f>
        <v>0.7120340712072314</v>
      </c>
      <c r="P379" s="31">
        <f>I379</f>
        <v>0.17163310965489723</v>
      </c>
      <c r="Q379" s="31">
        <f>G379</f>
        <v>0.07269981997125521</v>
      </c>
      <c r="R379" s="31">
        <f>J379</f>
        <v>0.04500505271408481</v>
      </c>
      <c r="S379" s="31">
        <f>M379</f>
        <v>0</v>
      </c>
      <c r="T379" s="31">
        <f>F379</f>
        <v>301.9235579150966</v>
      </c>
      <c r="U379" s="31">
        <f>(0.309701-0.00000555238*(AA379+100)^1.1+0.0000000160444*(AA379+100)^2.2-0.00000000000568436*(AA379+100)^3.3+0.000000000000000856875*(AA379+100)^4.4-0.0000000000000000000482474*(AA379+100)^5.5)*AA379</f>
        <v>278.52656727209205</v>
      </c>
      <c r="V379" s="31">
        <f>(0.356179-0.0000326182*(AA379+100)^0.8+0.00000129519*(AA379+100)^1.6-0.00000000148934*(AA379+100)^2.4-0.000000000000594678*(AA379+100)^3.2+0.00000000000000129158*(AA379+100)^4)*AA379</f>
        <v>341.31280344088606</v>
      </c>
      <c r="W379" s="31">
        <f>(0.34584+0.0008688*(AA379+100)^0.82-0.00000109945*(AA379+100)^1.64+0.00000000054341*(AA379+100)^2.46)*AA379</f>
        <v>436.2309336845904</v>
      </c>
      <c r="X379" s="31">
        <f>(0.317715-0.000574557*(AA379+100)^0.7+0.0000164618*(AA379+100)^1.4-0.000000119525*(AA379+100)^2.1+0.000000000385185*(AA379+100)^2.8-0.000000000000467365*(AA379+100)^3.5)*AA379</f>
        <v>295.7148878631725</v>
      </c>
      <c r="Y379" s="31">
        <f>0.10364*AA379^1.12+0.26993*IF(AA379&lt;=1300,0,(AA379-1300)^0.9)</f>
        <v>197.8048500413725</v>
      </c>
      <c r="Z379" s="31">
        <f>O379*U379+P379*V379+Q379*W379+R379*X379+0.001*S379*Y379</f>
        <v>301.9235579150965</v>
      </c>
      <c r="AA379" s="31">
        <f>AA379+2.5*(T379-Z379)</f>
        <v>849.5812889464446</v>
      </c>
    </row>
    <row r="381" ht="15">
      <c r="G381" s="1" t="s">
        <v>1054</v>
      </c>
    </row>
    <row r="382" spans="5:73" ht="15.75">
      <c r="E382" s="1" t="s">
        <v>1042</v>
      </c>
      <c r="F382" s="1" t="s">
        <v>1043</v>
      </c>
      <c r="R382" s="1" t="s">
        <v>1044</v>
      </c>
      <c r="S382" s="12" t="s">
        <v>1045</v>
      </c>
      <c r="T382" s="13"/>
      <c r="U382" s="13"/>
      <c r="V382" s="13"/>
      <c r="W382" s="1" t="s">
        <v>1046</v>
      </c>
      <c r="X382" s="12" t="s">
        <v>1055</v>
      </c>
      <c r="Y382" s="13"/>
      <c r="Z382" s="13"/>
      <c r="AA382" s="13"/>
      <c r="BO382" s="1" t="s">
        <v>1109</v>
      </c>
      <c r="BP382" s="14" t="s">
        <v>1110</v>
      </c>
      <c r="BQ382" s="15"/>
      <c r="BR382" s="15"/>
      <c r="BS382" s="15"/>
      <c r="BT382" s="15"/>
      <c r="BU382" s="15"/>
    </row>
    <row r="383" spans="5:73" ht="15.75">
      <c r="E383" s="24" t="s">
        <v>835</v>
      </c>
      <c r="F383" s="24" t="s">
        <v>984</v>
      </c>
      <c r="G383" s="24" t="s">
        <v>997</v>
      </c>
      <c r="H383" s="24" t="s">
        <v>989</v>
      </c>
      <c r="I383" s="24" t="s">
        <v>990</v>
      </c>
      <c r="J383" s="24" t="s">
        <v>815</v>
      </c>
      <c r="K383" s="24" t="s">
        <v>988</v>
      </c>
      <c r="L383" s="24" t="s">
        <v>995</v>
      </c>
      <c r="M383" s="24" t="s">
        <v>1048</v>
      </c>
      <c r="N383" s="24" t="s">
        <v>102</v>
      </c>
      <c r="O383" s="24" t="s">
        <v>647</v>
      </c>
      <c r="P383" s="24" t="s">
        <v>699</v>
      </c>
      <c r="Q383" s="24" t="s">
        <v>985</v>
      </c>
      <c r="S383" s="24" t="s">
        <v>109</v>
      </c>
      <c r="T383" s="24" t="s">
        <v>840</v>
      </c>
      <c r="U383" s="24" t="s">
        <v>706</v>
      </c>
      <c r="V383" s="24" t="s">
        <v>695</v>
      </c>
      <c r="X383" s="24" t="s">
        <v>1011</v>
      </c>
      <c r="Y383" s="24" t="s">
        <v>1008</v>
      </c>
      <c r="Z383" s="24" t="s">
        <v>992</v>
      </c>
      <c r="AA383" s="24" t="s">
        <v>996</v>
      </c>
      <c r="BP383" s="14" t="s">
        <v>1600</v>
      </c>
      <c r="BQ383" s="14" t="s">
        <v>644</v>
      </c>
      <c r="BR383" s="14" t="s">
        <v>102</v>
      </c>
      <c r="BS383" s="14" t="s">
        <v>1540</v>
      </c>
      <c r="BT383" s="14" t="s">
        <v>646</v>
      </c>
      <c r="BU383" s="14" t="s">
        <v>1597</v>
      </c>
    </row>
    <row r="384" spans="5:73" ht="15.75">
      <c r="E384" s="31">
        <f>E360</f>
        <v>16000</v>
      </c>
      <c r="F384" s="31">
        <f>G373</f>
        <v>152914.56538212864</v>
      </c>
      <c r="G384" s="31">
        <f>1600/10</f>
        <v>160</v>
      </c>
      <c r="H384" s="4">
        <v>13.54</v>
      </c>
      <c r="I384" s="4">
        <v>0.64</v>
      </c>
      <c r="J384" s="4">
        <v>0.301</v>
      </c>
      <c r="K384" s="4">
        <v>30.4</v>
      </c>
      <c r="L384" s="4">
        <v>0.005</v>
      </c>
      <c r="M384" s="31">
        <f>L351</f>
        <v>1</v>
      </c>
      <c r="N384" s="31">
        <f>I379</f>
        <v>0.17163310965489723</v>
      </c>
      <c r="O384" s="31">
        <f>N384+G379</f>
        <v>0.24433292962615244</v>
      </c>
      <c r="P384" s="31">
        <f>E379</f>
        <v>15.559873469387755</v>
      </c>
      <c r="Q384" s="4">
        <v>0.1171</v>
      </c>
      <c r="S384" s="31">
        <f>H373</f>
        <v>100</v>
      </c>
      <c r="T384" s="4">
        <v>0.994</v>
      </c>
      <c r="U384" s="31">
        <f>K379</f>
        <v>1.3130758017492712</v>
      </c>
      <c r="V384" s="31">
        <f>L377</f>
        <v>0.02</v>
      </c>
      <c r="X384" s="31">
        <f>F379</f>
        <v>301.9235579150966</v>
      </c>
      <c r="Y384" s="31">
        <f>I373</f>
        <v>684.0812730222092</v>
      </c>
      <c r="Z384" s="31">
        <f>L379+273</f>
        <v>1122.5812889464446</v>
      </c>
      <c r="AA384" s="31">
        <f>J373+273</f>
        <v>605.6377171438701</v>
      </c>
      <c r="BP384" s="31">
        <f>N379</f>
        <v>16</v>
      </c>
      <c r="BQ384" s="31">
        <f>H379</f>
        <v>0.7120340712072314</v>
      </c>
      <c r="BR384" s="31">
        <f>I379</f>
        <v>0.17163310965489723</v>
      </c>
      <c r="BS384" s="31">
        <f>G379</f>
        <v>0.07269981997125521</v>
      </c>
      <c r="BT384" s="31">
        <f>J379</f>
        <v>0.04500505271408481</v>
      </c>
      <c r="BU384" s="31">
        <f>M379</f>
        <v>0</v>
      </c>
    </row>
    <row r="385" spans="28:65" ht="15.75">
      <c r="AB385" s="1" t="s">
        <v>1049</v>
      </c>
      <c r="AC385" s="12" t="s">
        <v>1050</v>
      </c>
      <c r="AD385" s="13"/>
      <c r="AE385" s="13"/>
      <c r="AF385" s="13"/>
      <c r="AI385" s="1" t="s">
        <v>987</v>
      </c>
      <c r="AW385" s="1" t="s">
        <v>1051</v>
      </c>
      <c r="BF385" s="1" t="s">
        <v>1009</v>
      </c>
      <c r="BM385" s="1" t="s">
        <v>1112</v>
      </c>
    </row>
    <row r="386" spans="4:81" ht="15.75">
      <c r="D386" s="5" t="s">
        <v>1052</v>
      </c>
      <c r="E386" s="3" t="s">
        <v>835</v>
      </c>
      <c r="F386" s="3" t="s">
        <v>984</v>
      </c>
      <c r="G386" s="3" t="s">
        <v>997</v>
      </c>
      <c r="H386" s="3" t="s">
        <v>989</v>
      </c>
      <c r="I386" s="3" t="s">
        <v>990</v>
      </c>
      <c r="J386" s="3" t="s">
        <v>815</v>
      </c>
      <c r="K386" s="3" t="s">
        <v>988</v>
      </c>
      <c r="L386" s="3" t="s">
        <v>995</v>
      </c>
      <c r="M386" s="3" t="s">
        <v>1048</v>
      </c>
      <c r="N386" s="3" t="s">
        <v>102</v>
      </c>
      <c r="O386" s="3" t="s">
        <v>647</v>
      </c>
      <c r="P386" s="3" t="s">
        <v>699</v>
      </c>
      <c r="Q386" s="3" t="s">
        <v>985</v>
      </c>
      <c r="S386" s="3" t="s">
        <v>109</v>
      </c>
      <c r="T386" s="3" t="s">
        <v>840</v>
      </c>
      <c r="U386" s="3" t="s">
        <v>706</v>
      </c>
      <c r="V386" s="1" t="s">
        <v>695</v>
      </c>
      <c r="X386" s="3" t="s">
        <v>1011</v>
      </c>
      <c r="Y386" s="3" t="s">
        <v>1008</v>
      </c>
      <c r="Z386" s="3" t="s">
        <v>992</v>
      </c>
      <c r="AA386" s="3" t="s">
        <v>996</v>
      </c>
      <c r="AC386" s="24" t="s">
        <v>1011</v>
      </c>
      <c r="AD386" s="24" t="s">
        <v>1008</v>
      </c>
      <c r="AE386" s="24" t="s">
        <v>992</v>
      </c>
      <c r="AF386" s="24" t="s">
        <v>996</v>
      </c>
      <c r="AH386" s="3" t="s">
        <v>1003</v>
      </c>
      <c r="AI386" s="3" t="s">
        <v>991</v>
      </c>
      <c r="AJ386" s="3" t="s">
        <v>1053</v>
      </c>
      <c r="AK386" s="3" t="s">
        <v>209</v>
      </c>
      <c r="AL386" s="3" t="s">
        <v>206</v>
      </c>
      <c r="AM386" s="3" t="s">
        <v>993</v>
      </c>
      <c r="AN386" s="3" t="s">
        <v>994</v>
      </c>
      <c r="AO386" s="3" t="s">
        <v>820</v>
      </c>
      <c r="AP386" s="3" t="s">
        <v>998</v>
      </c>
      <c r="AQ386" s="3" t="s">
        <v>999</v>
      </c>
      <c r="AR386" s="3" t="s">
        <v>1000</v>
      </c>
      <c r="AS386" s="3" t="s">
        <v>1001</v>
      </c>
      <c r="AT386" s="3" t="s">
        <v>1002</v>
      </c>
      <c r="AU386" s="3" t="s">
        <v>1004</v>
      </c>
      <c r="AW386" s="3" t="s">
        <v>109</v>
      </c>
      <c r="AX386" s="3" t="s">
        <v>840</v>
      </c>
      <c r="AY386" s="3" t="s">
        <v>1006</v>
      </c>
      <c r="AZ386" s="3" t="s">
        <v>1007</v>
      </c>
      <c r="BA386" s="3" t="s">
        <v>1008</v>
      </c>
      <c r="BB386" s="3" t="s">
        <v>865</v>
      </c>
      <c r="BC386" s="3" t="s">
        <v>544</v>
      </c>
      <c r="BD386" s="3" t="s">
        <v>996</v>
      </c>
      <c r="BF386" s="3" t="s">
        <v>706</v>
      </c>
      <c r="BG386" s="1" t="s">
        <v>695</v>
      </c>
      <c r="BH386" s="3" t="s">
        <v>699</v>
      </c>
      <c r="BI386" s="3" t="s">
        <v>1010</v>
      </c>
      <c r="BJ386" s="3" t="s">
        <v>1011</v>
      </c>
      <c r="BK386" s="3" t="s">
        <v>1053</v>
      </c>
      <c r="BL386" s="1" t="s">
        <v>1113</v>
      </c>
      <c r="BM386" s="3" t="s">
        <v>1604</v>
      </c>
      <c r="BN386" s="3" t="s">
        <v>1114</v>
      </c>
      <c r="BO386" s="14" t="s">
        <v>1115</v>
      </c>
      <c r="BP386" s="14" t="s">
        <v>1600</v>
      </c>
      <c r="BQ386" s="14" t="s">
        <v>644</v>
      </c>
      <c r="BR386" s="14" t="s">
        <v>102</v>
      </c>
      <c r="BS386" s="14" t="s">
        <v>1540</v>
      </c>
      <c r="BT386" s="14" t="s">
        <v>646</v>
      </c>
      <c r="BU386" s="14" t="s">
        <v>1597</v>
      </c>
      <c r="BV386" s="14" t="s">
        <v>369</v>
      </c>
      <c r="BW386" s="1" t="s">
        <v>88</v>
      </c>
      <c r="BX386" s="1" t="s">
        <v>306</v>
      </c>
      <c r="BY386" s="1" t="s">
        <v>1508</v>
      </c>
      <c r="BZ386" s="1" t="s">
        <v>387</v>
      </c>
      <c r="CA386" s="3" t="s">
        <v>397</v>
      </c>
      <c r="CB386" s="3" t="s">
        <v>404</v>
      </c>
      <c r="CC386" s="3" t="s">
        <v>544</v>
      </c>
    </row>
    <row r="387" spans="4:81" ht="15.75">
      <c r="D387" s="4">
        <v>1</v>
      </c>
      <c r="E387" s="31">
        <f aca="true" t="shared" si="35" ref="E387:Q387">E384</f>
        <v>16000</v>
      </c>
      <c r="F387" s="31">
        <f t="shared" si="35"/>
        <v>152914.56538212864</v>
      </c>
      <c r="G387" s="31">
        <f t="shared" si="35"/>
        <v>160</v>
      </c>
      <c r="H387" s="31">
        <f t="shared" si="35"/>
        <v>13.54</v>
      </c>
      <c r="I387" s="31">
        <f t="shared" si="35"/>
        <v>0.64</v>
      </c>
      <c r="J387" s="31">
        <f t="shared" si="35"/>
        <v>0.301</v>
      </c>
      <c r="K387" s="31">
        <f t="shared" si="35"/>
        <v>30.4</v>
      </c>
      <c r="L387" s="31">
        <f t="shared" si="35"/>
        <v>0.005</v>
      </c>
      <c r="M387" s="31">
        <f t="shared" si="35"/>
        <v>1</v>
      </c>
      <c r="N387" s="31">
        <f t="shared" si="35"/>
        <v>0.17163310965489723</v>
      </c>
      <c r="O387" s="31">
        <f t="shared" si="35"/>
        <v>0.24433292962615244</v>
      </c>
      <c r="P387" s="31">
        <f t="shared" si="35"/>
        <v>15.559873469387755</v>
      </c>
      <c r="Q387" s="31">
        <f t="shared" si="35"/>
        <v>0.1171</v>
      </c>
      <c r="S387" s="31">
        <f>S384</f>
        <v>100</v>
      </c>
      <c r="T387" s="31">
        <f>T384</f>
        <v>0.994</v>
      </c>
      <c r="U387" s="31">
        <f>U384</f>
        <v>1.3130758017492712</v>
      </c>
      <c r="V387" s="31">
        <f>V384</f>
        <v>0.02</v>
      </c>
      <c r="X387" s="31">
        <f>X384</f>
        <v>301.9235579150966</v>
      </c>
      <c r="Y387" s="31">
        <f>AD388</f>
        <v>769.5670591827613</v>
      </c>
      <c r="Z387" s="31">
        <f>Z384</f>
        <v>1122.5812889464446</v>
      </c>
      <c r="AA387" s="31">
        <f>AF388</f>
        <v>714.6824840763404</v>
      </c>
      <c r="AC387" s="31">
        <f>BJ387</f>
        <v>287.1271772177711</v>
      </c>
      <c r="AD387" s="31">
        <f>BA387</f>
        <v>793.5122923411237</v>
      </c>
      <c r="AE387" s="31">
        <f>BK387+273</f>
        <v>1084.5747419196482</v>
      </c>
      <c r="AF387" s="31">
        <f>BD387</f>
        <v>752.1018297253017</v>
      </c>
      <c r="AH387" s="31">
        <f>Z387-AA387</f>
        <v>407.8988048701042</v>
      </c>
      <c r="AI387" s="31">
        <f>AA387+(L387+1/AN387)*AU387*E387/G387</f>
        <v>843.794731967188</v>
      </c>
      <c r="AJ387" s="31">
        <f>Z387-273</f>
        <v>849.5812889464446</v>
      </c>
      <c r="AK387" s="31">
        <f>E387*P387/(3600*K387)*(AJ387+273)/273</f>
        <v>9.35416683541594</v>
      </c>
      <c r="AL387" s="31">
        <f>1.1077-0.002944*AJ387^0.7+0.67936*N387+0.0050854*AJ387^0.7*N387+0.0000089737*AJ387^1.4-2.4659*N387^2-0.000046377*AJ387^1.4*N387^2+23.168*AJ387^-0.1*N387^4</f>
        <v>1.0252437003643857</v>
      </c>
      <c r="AM387" s="31">
        <f>H387*AL387*AK387^I387</f>
        <v>58.06160610064083</v>
      </c>
      <c r="AN387" s="31">
        <f>Q387*F387^0.8</f>
        <v>1644.8109131775936</v>
      </c>
      <c r="AO387" s="31">
        <f>((0.78+1.6*N387)/(M387*O387*J387)^0.5-0.1)*(1-0.37*Z387/1000)</f>
        <v>2.215119716177236</v>
      </c>
      <c r="AP387" s="31">
        <f>AO387*O387+BN387</f>
        <v>0.5412266897262353</v>
      </c>
      <c r="AQ387" s="31">
        <f>1-EXP(-AP387*M387*J387)</f>
        <v>0.1503316937584193</v>
      </c>
      <c r="AR387" s="31">
        <f>0.000000049*(0.82+1)/2*AQ387*Z387^3*(1-(AI387/Z387)^$L$10)/(1-AI387/Z387)</f>
        <v>24.521217816656893</v>
      </c>
      <c r="AS387" s="31">
        <f>AM387+AR387</f>
        <v>82.58282391729773</v>
      </c>
      <c r="AT387" s="31">
        <f>1/(1/AS387+L387+1/AN387)</f>
        <v>56.442874729332274</v>
      </c>
      <c r="AU387" s="31">
        <f>AT387*G387*AH387/E387</f>
        <v>230.2298114552764</v>
      </c>
      <c r="AW387" s="31">
        <f aca="true" t="shared" si="36" ref="AW387:AX391">S387</f>
        <v>100</v>
      </c>
      <c r="AX387" s="31">
        <f t="shared" si="36"/>
        <v>0.994</v>
      </c>
      <c r="AY387" s="31">
        <f>Y387</f>
        <v>769.5670591827613</v>
      </c>
      <c r="AZ387" s="31">
        <f>AU387*AX387</f>
        <v>228.84843258654473</v>
      </c>
      <c r="BA387" s="31">
        <f>AY387+AZ387*E387/F387</f>
        <v>793.5122923411237</v>
      </c>
      <c r="BB387" s="31">
        <f>193.897+1.6984*AW387-0.0066353*AW387^2+0.0000121825*AW387^3</f>
        <v>309.56649999999996</v>
      </c>
      <c r="BC387" s="31">
        <f>3074.3-3.1077*AW387-2.3864*10^7*BA387^-1.3+22437.3*AW387*BA387^-1.3+0.0041697*AW387^2+4.8476*10^10*BA387^-2.6-177649*AW387^2*BA387^-2.6</f>
        <v>479.10182972530174</v>
      </c>
      <c r="BD387" s="31">
        <f>BC387+273</f>
        <v>752.1018297253017</v>
      </c>
      <c r="BF387" s="31">
        <f aca="true" t="shared" si="37" ref="BF387:BG391">U387</f>
        <v>1.3130758017492712</v>
      </c>
      <c r="BG387" s="31">
        <f t="shared" si="37"/>
        <v>0.02</v>
      </c>
      <c r="BH387" s="31">
        <f>P387</f>
        <v>15.559873469387755</v>
      </c>
      <c r="BI387" s="31">
        <f>X387</f>
        <v>301.9235579150966</v>
      </c>
      <c r="BJ387" s="31">
        <f>BI387-AU387/BH387</f>
        <v>287.1271772177711</v>
      </c>
      <c r="BK387" s="31">
        <f>CC387</f>
        <v>811.5747419196482</v>
      </c>
      <c r="BM387" s="31">
        <f>7*(BP387*BO387)^-(2/3)</f>
        <v>0.010206406282340753</v>
      </c>
      <c r="BN387" s="31">
        <f>BM387*BU387</f>
        <v>0</v>
      </c>
      <c r="BO387" s="31">
        <f>Z387</f>
        <v>1122.5812889464446</v>
      </c>
      <c r="BP387" s="31">
        <f aca="true" t="shared" si="38" ref="BP387:BU387">BP384</f>
        <v>16</v>
      </c>
      <c r="BQ387" s="31">
        <f t="shared" si="38"/>
        <v>0.7120340712072314</v>
      </c>
      <c r="BR387" s="31">
        <f t="shared" si="38"/>
        <v>0.17163310965489723</v>
      </c>
      <c r="BS387" s="31">
        <f t="shared" si="38"/>
        <v>0.07269981997125521</v>
      </c>
      <c r="BT387" s="31">
        <f t="shared" si="38"/>
        <v>0.04500505271408481</v>
      </c>
      <c r="BU387" s="31">
        <f t="shared" si="38"/>
        <v>0</v>
      </c>
      <c r="BV387" s="31">
        <f>BJ387</f>
        <v>287.1271772177711</v>
      </c>
      <c r="BW387" s="31">
        <f>(0.309701-0.00000555238*(CC387+100)^1.1+0.0000000160444*(CC387+100)^2.2-0.00000000000568436*(CC387+100)^3.3+0.000000000000000856875*(CC387+100)^4.4-0.0000000000000000000482474*(CC387+100)^5.5)*CC387</f>
        <v>265.103055745345</v>
      </c>
      <c r="BX387" s="31">
        <f>(0.356179-0.0000326182*(CC387+100)^0.8+0.00000129519*(CC387+100)^1.6-0.00000000148934*(CC387+100)^2.4-0.000000000000594678*(CC387+100)^3.2+0.00000000000000129158*(CC387+100)^4)*CC387</f>
        <v>324.03748546326375</v>
      </c>
      <c r="BY387" s="31">
        <f>(0.34584+0.0008688*(CC387+100)^0.82-0.00000109945*(CC387+100)^1.64+0.00000000054341*(CC387+100)^2.46)*CC387</f>
        <v>413.8228467232753</v>
      </c>
      <c r="BZ387" s="31">
        <f>(0.317715-0.000574557*(CC387+100)^0.7+0.0000164618*(CC387+100)^1.4-0.000000119525*(CC387+100)^2.1+0.000000000385185*(CC387+100)^2.8-0.000000000000467365*(CC387+100)^3.5)*CC387</f>
        <v>281.3986574974952</v>
      </c>
      <c r="CA387" s="31">
        <f>0.10364*CC387^1.12+0.26993*IF(CC387&lt;=1300,0,(CC387-1300)^0.9)</f>
        <v>187.92101492533635</v>
      </c>
      <c r="CB387" s="31">
        <f>BQ387*BW387+BR387*BX387+BS387*BY387+BT387*BZ387+0.001*BU387*CA387</f>
        <v>287.127177217771</v>
      </c>
      <c r="CC387" s="31">
        <f>CC387+2.5*(BV387-CB387)</f>
        <v>811.5747419196482</v>
      </c>
    </row>
    <row r="388" spans="4:81" ht="15.75">
      <c r="D388" s="4">
        <v>2</v>
      </c>
      <c r="E388" s="31">
        <f aca="true" t="shared" si="39" ref="E388:Q391">E387</f>
        <v>16000</v>
      </c>
      <c r="F388" s="31">
        <f t="shared" si="39"/>
        <v>152914.56538212864</v>
      </c>
      <c r="G388" s="31">
        <f t="shared" si="39"/>
        <v>160</v>
      </c>
      <c r="H388" s="31">
        <f t="shared" si="39"/>
        <v>13.54</v>
      </c>
      <c r="I388" s="31">
        <f t="shared" si="39"/>
        <v>0.64</v>
      </c>
      <c r="J388" s="31">
        <f t="shared" si="39"/>
        <v>0.301</v>
      </c>
      <c r="K388" s="31">
        <f t="shared" si="39"/>
        <v>30.4</v>
      </c>
      <c r="L388" s="31">
        <f t="shared" si="39"/>
        <v>0.005</v>
      </c>
      <c r="M388" s="31">
        <f t="shared" si="39"/>
        <v>1</v>
      </c>
      <c r="N388" s="31">
        <f t="shared" si="39"/>
        <v>0.17163310965489723</v>
      </c>
      <c r="O388" s="31">
        <f t="shared" si="39"/>
        <v>0.24433292962615244</v>
      </c>
      <c r="P388" s="31">
        <f t="shared" si="39"/>
        <v>15.559873469387755</v>
      </c>
      <c r="Q388" s="31">
        <f t="shared" si="39"/>
        <v>0.1171</v>
      </c>
      <c r="S388" s="31">
        <f aca="true" t="shared" si="40" ref="S388:V391">S387</f>
        <v>100</v>
      </c>
      <c r="T388" s="31">
        <f t="shared" si="40"/>
        <v>0.994</v>
      </c>
      <c r="U388" s="31">
        <f t="shared" si="40"/>
        <v>1.3130758017492712</v>
      </c>
      <c r="V388" s="31">
        <f t="shared" si="40"/>
        <v>0.02</v>
      </c>
      <c r="X388" s="31">
        <f>AC387</f>
        <v>287.1271772177711</v>
      </c>
      <c r="Y388" s="31">
        <f>AD389</f>
        <v>746.535823976302</v>
      </c>
      <c r="Z388" s="31">
        <f>AE387</f>
        <v>1084.5747419196482</v>
      </c>
      <c r="AA388" s="31">
        <f>AF389</f>
        <v>680.749754765597</v>
      </c>
      <c r="AC388" s="31">
        <f>BJ388</f>
        <v>272.8955795636297</v>
      </c>
      <c r="AD388" s="31">
        <f>BA388</f>
        <v>769.5670591827613</v>
      </c>
      <c r="AE388" s="31">
        <f>BK388+273</f>
        <v>1047.7525056324525</v>
      </c>
      <c r="AF388" s="31">
        <f>BD388</f>
        <v>714.6824840763404</v>
      </c>
      <c r="AH388" s="31">
        <f>Z388-AA388</f>
        <v>403.8249871540512</v>
      </c>
      <c r="AI388" s="31">
        <f>AA388+(L388+1/AN388)*AU388*E388/G388</f>
        <v>804.9337428496854</v>
      </c>
      <c r="AJ388" s="31">
        <f>Z388-273</f>
        <v>811.5747419196482</v>
      </c>
      <c r="AK388" s="31">
        <f>E388*P388/(3600*K388)*(AJ388+273)/273</f>
        <v>9.03746853906326</v>
      </c>
      <c r="AL388" s="31">
        <f>1.1077-0.002944*AJ388^0.7+0.67936*N388+0.0050854*AJ388^0.7*N388+0.0000089737*AJ388^1.4-2.4659*N388^2-0.000046377*AJ388^1.4*N388^2+23.168*AJ388^-0.1*N388^4</f>
        <v>1.026668991621222</v>
      </c>
      <c r="AM388" s="31">
        <f>H388*AL388*AK388^I388</f>
        <v>56.87469237199384</v>
      </c>
      <c r="AN388" s="31">
        <f>Q388*F388^0.8</f>
        <v>1644.8109131775936</v>
      </c>
      <c r="AO388" s="31">
        <f>((0.78+1.6*N388)/(M388*O388*J388)^0.5-0.1)*(1-0.37*Z388/1000)</f>
        <v>2.2683998318252736</v>
      </c>
      <c r="AP388" s="31">
        <f>AO388*O388+BN388</f>
        <v>0.5542447764733406</v>
      </c>
      <c r="AQ388" s="31">
        <f>1-EXP(-AP388*M388*J388)</f>
        <v>0.15365455705050377</v>
      </c>
      <c r="AR388" s="31">
        <f>0.000000049*(0.82+1)/2*AQ388*Z388^3*(1-(AI388/Z388)^$L$10)/(1-AI388/Z388)</f>
        <v>22.313216233022</v>
      </c>
      <c r="AS388" s="31">
        <f>AM388+AR388</f>
        <v>79.18790860501583</v>
      </c>
      <c r="AT388" s="31">
        <f>1/(1/AS388+L388+1/AN388)</f>
        <v>54.83609628177856</v>
      </c>
      <c r="AU388" s="31">
        <f>AT388*G388*AH388/E388</f>
        <v>221.44185876567542</v>
      </c>
      <c r="AW388" s="31">
        <f t="shared" si="36"/>
        <v>100</v>
      </c>
      <c r="AX388" s="31">
        <f t="shared" si="36"/>
        <v>0.994</v>
      </c>
      <c r="AY388" s="31">
        <f>Y388</f>
        <v>746.535823976302</v>
      </c>
      <c r="AZ388" s="31">
        <f>AU388*AX388</f>
        <v>220.11320761308136</v>
      </c>
      <c r="BA388" s="31">
        <f>AY388+AZ388*E388/F388</f>
        <v>769.5670591827613</v>
      </c>
      <c r="BB388" s="31">
        <f>193.897+1.6984*AW388-0.0066353*AW388^2+0.0000121825*AW388^3</f>
        <v>309.56649999999996</v>
      </c>
      <c r="BC388" s="31">
        <f>3074.3-3.1077*AW388-2.3864*10^7*BA388^-1.3+22437.3*AW388*BA388^-1.3+0.0041697*AW388^2+4.8476*10^10*BA388^-2.6-177649*AW388^2*BA388^-2.6</f>
        <v>441.6824840763405</v>
      </c>
      <c r="BD388" s="31">
        <f>BC388+273</f>
        <v>714.6824840763404</v>
      </c>
      <c r="BF388" s="31">
        <f t="shared" si="37"/>
        <v>1.3130758017492712</v>
      </c>
      <c r="BG388" s="31">
        <f t="shared" si="37"/>
        <v>0.02</v>
      </c>
      <c r="BH388" s="31">
        <f>P388</f>
        <v>15.559873469387755</v>
      </c>
      <c r="BI388" s="31">
        <f>X388</f>
        <v>287.1271772177711</v>
      </c>
      <c r="BJ388" s="31">
        <f>BI388-AU388/BH388</f>
        <v>272.8955795636297</v>
      </c>
      <c r="BK388" s="31">
        <f>CC388</f>
        <v>774.7525056324524</v>
      </c>
      <c r="BM388" s="31">
        <f>7*(BP388*BO388)^-(2/3)</f>
        <v>0.010443475705891308</v>
      </c>
      <c r="BN388" s="31">
        <f>BM388*BU388</f>
        <v>0</v>
      </c>
      <c r="BO388" s="31">
        <f>Z388</f>
        <v>1084.5747419196482</v>
      </c>
      <c r="BP388" s="31">
        <f aca="true" t="shared" si="41" ref="BP388:BU391">BP387</f>
        <v>16</v>
      </c>
      <c r="BQ388" s="31">
        <f t="shared" si="41"/>
        <v>0.7120340712072314</v>
      </c>
      <c r="BR388" s="31">
        <f t="shared" si="41"/>
        <v>0.17163310965489723</v>
      </c>
      <c r="BS388" s="31">
        <f t="shared" si="41"/>
        <v>0.07269981997125521</v>
      </c>
      <c r="BT388" s="31">
        <f t="shared" si="41"/>
        <v>0.04500505271408481</v>
      </c>
      <c r="BU388" s="31">
        <f t="shared" si="41"/>
        <v>0</v>
      </c>
      <c r="BV388" s="31">
        <f>BJ388</f>
        <v>272.8955795636297</v>
      </c>
      <c r="BW388" s="31">
        <f>(0.309701-0.00000555238*(CC388+100)^1.1+0.0000000160444*(CC388+100)^2.2-0.00000000000568436*(CC388+100)^3.3+0.000000000000000856875*(CC388+100)^4.4-0.0000000000000000000482474*(CC388+100)^5.5)*CC388</f>
        <v>252.17934022910106</v>
      </c>
      <c r="BX388" s="31">
        <f>(0.356179-0.0000326182*(CC388+100)^0.8+0.00000129519*(CC388+100)^1.6-0.00000000148934*(CC388+100)^2.4-0.000000000000594678*(CC388+100)^3.2+0.00000000000000129158*(CC388+100)^4)*CC388</f>
        <v>307.4844134619303</v>
      </c>
      <c r="BY388" s="31">
        <f>(0.34584+0.0008688*(CC388+100)^0.82-0.00000109945*(CC388+100)^1.64+0.00000000054341*(CC388+100)^2.46)*CC388</f>
        <v>392.26940108287823</v>
      </c>
      <c r="BZ388" s="31">
        <f>(0.317715-0.000574557*(CC388+100)^0.7+0.0000164618*(CC388+100)^1.4-0.000000119525*(CC388+100)^2.1+0.000000000385185*(CC388+100)^2.8-0.000000000000467365*(CC388+100)^3.5)*CC388</f>
        <v>267.5894293606678</v>
      </c>
      <c r="CA388" s="31">
        <f>0.10364*CC388^1.12+0.26993*IF(CC388&lt;=1300,0,(CC388-1300)^0.9)</f>
        <v>178.3979882015885</v>
      </c>
      <c r="CB388" s="31">
        <f>BQ388*BW388+BR388*BX388+BS388*BY388+BT388*BZ388+0.001*BU388*CA388</f>
        <v>272.89557956362967</v>
      </c>
      <c r="CC388" s="31">
        <f>CC388+2.5*(BV388-CB388)</f>
        <v>774.7525056324524</v>
      </c>
    </row>
    <row r="389" spans="4:81" ht="15.75">
      <c r="D389" s="4">
        <v>3</v>
      </c>
      <c r="E389" s="31">
        <f t="shared" si="39"/>
        <v>16000</v>
      </c>
      <c r="F389" s="31">
        <f t="shared" si="39"/>
        <v>152914.56538212864</v>
      </c>
      <c r="G389" s="31">
        <f t="shared" si="39"/>
        <v>160</v>
      </c>
      <c r="H389" s="31">
        <f t="shared" si="39"/>
        <v>13.54</v>
      </c>
      <c r="I389" s="31">
        <f t="shared" si="39"/>
        <v>0.64</v>
      </c>
      <c r="J389" s="31">
        <f t="shared" si="39"/>
        <v>0.301</v>
      </c>
      <c r="K389" s="31">
        <f t="shared" si="39"/>
        <v>30.4</v>
      </c>
      <c r="L389" s="31">
        <f t="shared" si="39"/>
        <v>0.005</v>
      </c>
      <c r="M389" s="31">
        <f t="shared" si="39"/>
        <v>1</v>
      </c>
      <c r="N389" s="31">
        <f t="shared" si="39"/>
        <v>0.17163310965489723</v>
      </c>
      <c r="O389" s="31">
        <f t="shared" si="39"/>
        <v>0.24433292962615244</v>
      </c>
      <c r="P389" s="31">
        <f t="shared" si="39"/>
        <v>15.559873469387755</v>
      </c>
      <c r="Q389" s="31">
        <f t="shared" si="39"/>
        <v>0.1171</v>
      </c>
      <c r="S389" s="31">
        <f t="shared" si="40"/>
        <v>100</v>
      </c>
      <c r="T389" s="31">
        <f t="shared" si="40"/>
        <v>0.994</v>
      </c>
      <c r="U389" s="31">
        <f t="shared" si="40"/>
        <v>1.3130758017492712</v>
      </c>
      <c r="V389" s="31">
        <f t="shared" si="40"/>
        <v>0.02</v>
      </c>
      <c r="X389" s="31">
        <f>AC388</f>
        <v>272.8955795636297</v>
      </c>
      <c r="Y389" s="31">
        <f>AD390</f>
        <v>724.5343363513518</v>
      </c>
      <c r="Z389" s="31">
        <f>AE388</f>
        <v>1047.7525056324525</v>
      </c>
      <c r="AA389" s="31">
        <f>AF390</f>
        <v>650.9259889608345</v>
      </c>
      <c r="AC389" s="31">
        <f>BJ389</f>
        <v>259.3002896513003</v>
      </c>
      <c r="AD389" s="31">
        <f>BA389</f>
        <v>746.535823976302</v>
      </c>
      <c r="AE389" s="31">
        <f>BK389+273</f>
        <v>1012.3183653840834</v>
      </c>
      <c r="AF389" s="31">
        <f>BD389</f>
        <v>680.749754765597</v>
      </c>
      <c r="AH389" s="31">
        <f>Z389-AA389</f>
        <v>396.82651667161804</v>
      </c>
      <c r="AI389" s="31">
        <f>AA389+(L389+1/AN389)*AU389*E389/G389</f>
        <v>769.5575974072087</v>
      </c>
      <c r="AJ389" s="31">
        <f>Z389-273</f>
        <v>774.7525056324525</v>
      </c>
      <c r="AK389" s="31">
        <f>E389*P389/(3600*K389)*(AJ389+273)/273</f>
        <v>8.730638784394182</v>
      </c>
      <c r="AL389" s="31">
        <f>1.1077-0.002944*AJ389^0.7+0.67936*N389+0.0050854*AJ389^0.7*N389+0.0000089737*AJ389^1.4-2.4659*N389^2-0.000046377*AJ389^1.4*N389^2+23.168*AJ389^-0.1*N389^4</f>
        <v>1.028256608678383</v>
      </c>
      <c r="AM389" s="31">
        <f>H389*AL389*AK389^I389</f>
        <v>55.717244064414984</v>
      </c>
      <c r="AN389" s="31">
        <f>Q389*F389^0.8</f>
        <v>1644.8109131775936</v>
      </c>
      <c r="AO389" s="31">
        <f>((0.78+1.6*N389)/(M389*O389*J389)^0.5-0.1)*(1-0.37*Z389/1000)</f>
        <v>2.320019701591867</v>
      </c>
      <c r="AP389" s="31">
        <f>AO389*O389+BN389</f>
        <v>0.5668572104803329</v>
      </c>
      <c r="AQ389" s="31">
        <f>1-EXP(-AP389*M389*J389)</f>
        <v>0.15686148319364634</v>
      </c>
      <c r="AR389" s="31">
        <f>0.000000049*(0.82+1)/2*AQ389*Z389^3*(1-(AI389/Z389)^$L$10)/(1-AI389/Z389)</f>
        <v>20.32332481767706</v>
      </c>
      <c r="AS389" s="31">
        <f>AM389+AR389</f>
        <v>76.04056888209205</v>
      </c>
      <c r="AT389" s="31">
        <f>1/(1/AS389+L389+1/AN389)</f>
        <v>53.308179249156275</v>
      </c>
      <c r="AU389" s="31">
        <f>AT389*G389*AH389/E389</f>
        <v>211.54099081548915</v>
      </c>
      <c r="AW389" s="31">
        <f t="shared" si="36"/>
        <v>100</v>
      </c>
      <c r="AX389" s="31">
        <f t="shared" si="36"/>
        <v>0.994</v>
      </c>
      <c r="AY389" s="31">
        <f>Y389</f>
        <v>724.5343363513518</v>
      </c>
      <c r="AZ389" s="31">
        <f>AU389*AX389</f>
        <v>210.27174487059622</v>
      </c>
      <c r="BA389" s="31">
        <f>AY389+AZ389*E389/F389</f>
        <v>746.535823976302</v>
      </c>
      <c r="BB389" s="31">
        <f>193.897+1.6984*AW389-0.0066353*AW389^2+0.0000121825*AW389^3</f>
        <v>309.56649999999996</v>
      </c>
      <c r="BC389" s="31">
        <f>3074.3-3.1077*AW389-2.3864*10^7*BA389^-1.3+22437.3*AW389*BA389^-1.3+0.0041697*AW389^2+4.8476*10^10*BA389^-2.6-177649*AW389^2*BA389^-2.6</f>
        <v>407.749754765597</v>
      </c>
      <c r="BD389" s="31">
        <f>BC389+273</f>
        <v>680.749754765597</v>
      </c>
      <c r="BF389" s="31">
        <f t="shared" si="37"/>
        <v>1.3130758017492712</v>
      </c>
      <c r="BG389" s="31">
        <f t="shared" si="37"/>
        <v>0.02</v>
      </c>
      <c r="BH389" s="31">
        <f>P389</f>
        <v>15.559873469387755</v>
      </c>
      <c r="BI389" s="31">
        <f>X389</f>
        <v>272.8955795636297</v>
      </c>
      <c r="BJ389" s="31">
        <f>BI389-AU389/BH389</f>
        <v>259.3002896513003</v>
      </c>
      <c r="BK389" s="31">
        <f>CC389</f>
        <v>739.3183653840834</v>
      </c>
      <c r="BM389" s="31">
        <f>7*(BP389*BO389)^-(2/3)</f>
        <v>0.010686748268961297</v>
      </c>
      <c r="BN389" s="31">
        <f>BM389*BU389</f>
        <v>0</v>
      </c>
      <c r="BO389" s="31">
        <f>Z389</f>
        <v>1047.7525056324525</v>
      </c>
      <c r="BP389" s="31">
        <f t="shared" si="41"/>
        <v>16</v>
      </c>
      <c r="BQ389" s="31">
        <f t="shared" si="41"/>
        <v>0.7120340712072314</v>
      </c>
      <c r="BR389" s="31">
        <f t="shared" si="41"/>
        <v>0.17163310965489723</v>
      </c>
      <c r="BS389" s="31">
        <f t="shared" si="41"/>
        <v>0.07269981997125521</v>
      </c>
      <c r="BT389" s="31">
        <f t="shared" si="41"/>
        <v>0.04500505271408481</v>
      </c>
      <c r="BU389" s="31">
        <f t="shared" si="41"/>
        <v>0</v>
      </c>
      <c r="BV389" s="31">
        <f>BJ389</f>
        <v>259.3002896513003</v>
      </c>
      <c r="BW389" s="31">
        <f>(0.309701-0.00000555238*(CC389+100)^1.1+0.0000000160444*(CC389+100)^2.2-0.00000000000568436*(CC389+100)^3.3+0.000000000000000856875*(CC389+100)^4.4-0.0000000000000000000482474*(CC389+100)^5.5)*CC389</f>
        <v>239.82178766271497</v>
      </c>
      <c r="BX389" s="31">
        <f>(0.356179-0.0000326182*(CC389+100)^0.8+0.00000129519*(CC389+100)^1.6-0.00000000148934*(CC389+100)^2.4-0.000000000000594678*(CC389+100)^3.2+0.00000000000000129158*(CC389+100)^4)*CC389</f>
        <v>291.7278868697756</v>
      </c>
      <c r="BY389" s="31">
        <f>(0.34584+0.0008688*(CC389+100)^0.82-0.00000109945*(CC389+100)^1.64+0.00000000054341*(CC389+100)^2.46)*CC389</f>
        <v>371.6831364018774</v>
      </c>
      <c r="BZ389" s="31">
        <f>(0.317715-0.000574557*(CC389+100)^0.7+0.0000164618*(CC389+100)^1.4-0.000000119525*(CC389+100)^2.1+0.000000000385185*(CC389+100)^2.8-0.000000000000467365*(CC389+100)^3.5)*CC389</f>
        <v>254.36131340779156</v>
      </c>
      <c r="CA389" s="31">
        <f>0.10364*CC389^1.12+0.26993*IF(CC389&lt;=1300,0,(CC389-1300)^0.9)</f>
        <v>169.2850781278778</v>
      </c>
      <c r="CB389" s="31">
        <f>BQ389*BW389+BR389*BX389+BS389*BY389+BT389*BZ389+0.001*BU389*CA389</f>
        <v>259.30028965130026</v>
      </c>
      <c r="CC389" s="31">
        <f>CC389+2.5*(BV389-CB389)</f>
        <v>739.3183653840834</v>
      </c>
    </row>
    <row r="390" spans="4:81" ht="15.75">
      <c r="D390" s="4">
        <v>4</v>
      </c>
      <c r="E390" s="31">
        <f t="shared" si="39"/>
        <v>16000</v>
      </c>
      <c r="F390" s="31">
        <f t="shared" si="39"/>
        <v>152914.56538212864</v>
      </c>
      <c r="G390" s="31">
        <f t="shared" si="39"/>
        <v>160</v>
      </c>
      <c r="H390" s="31">
        <f t="shared" si="39"/>
        <v>13.54</v>
      </c>
      <c r="I390" s="31">
        <f t="shared" si="39"/>
        <v>0.64</v>
      </c>
      <c r="J390" s="31">
        <f t="shared" si="39"/>
        <v>0.301</v>
      </c>
      <c r="K390" s="31">
        <f t="shared" si="39"/>
        <v>30.4</v>
      </c>
      <c r="L390" s="31">
        <f t="shared" si="39"/>
        <v>0.005</v>
      </c>
      <c r="M390" s="31">
        <f t="shared" si="39"/>
        <v>1</v>
      </c>
      <c r="N390" s="31">
        <f t="shared" si="39"/>
        <v>0.17163310965489723</v>
      </c>
      <c r="O390" s="31">
        <f t="shared" si="39"/>
        <v>0.24433292962615244</v>
      </c>
      <c r="P390" s="31">
        <f t="shared" si="39"/>
        <v>15.559873469387755</v>
      </c>
      <c r="Q390" s="31">
        <f t="shared" si="39"/>
        <v>0.1171</v>
      </c>
      <c r="S390" s="31">
        <f t="shared" si="40"/>
        <v>100</v>
      </c>
      <c r="T390" s="31">
        <f t="shared" si="40"/>
        <v>0.994</v>
      </c>
      <c r="U390" s="31">
        <f t="shared" si="40"/>
        <v>1.3130758017492712</v>
      </c>
      <c r="V390" s="31">
        <f t="shared" si="40"/>
        <v>0.02</v>
      </c>
      <c r="X390" s="31">
        <f>AC389</f>
        <v>259.3002896513003</v>
      </c>
      <c r="Y390" s="31">
        <f>AD391</f>
        <v>703.6792055262237</v>
      </c>
      <c r="Z390" s="31">
        <f>AE389</f>
        <v>1012.3183653840834</v>
      </c>
      <c r="AA390" s="31">
        <f>AF391</f>
        <v>625.7541148247778</v>
      </c>
      <c r="AC390" s="31">
        <f>BJ390</f>
        <v>246.41336334157006</v>
      </c>
      <c r="AD390" s="31">
        <f>BA390</f>
        <v>724.5343363513518</v>
      </c>
      <c r="AE390" s="31">
        <f>BK390+273</f>
        <v>978.4849037972815</v>
      </c>
      <c r="AF390" s="31">
        <f>BD390</f>
        <v>650.9259889608345</v>
      </c>
      <c r="AH390" s="31">
        <f>Z390-AA390</f>
        <v>386.5642505593056</v>
      </c>
      <c r="AI390" s="31">
        <f>AA390+(L390+1/AN390)*AU390*E390/G390</f>
        <v>738.204588916305</v>
      </c>
      <c r="AJ390" s="31">
        <f>Z390-273</f>
        <v>739.3183653840834</v>
      </c>
      <c r="AK390" s="31">
        <f>E390*P390/(3600*K390)*(AJ390+273)/273</f>
        <v>8.435375659294486</v>
      </c>
      <c r="AL390" s="31">
        <f>1.1077-0.002944*AJ390^0.7+0.67936*N390+0.0050854*AJ390^0.7*N390+0.0000089737*AJ390^1.4-2.4659*N390^2-0.000046377*AJ390^1.4*N390^2+23.168*AJ390^-0.1*N390^4</f>
        <v>1.0299851773952529</v>
      </c>
      <c r="AM390" s="31">
        <f>H390*AL390*AK390^I390</f>
        <v>54.5954529099959</v>
      </c>
      <c r="AN390" s="31">
        <f>Q390*F390^0.8</f>
        <v>1644.8109131775936</v>
      </c>
      <c r="AO390" s="31">
        <f>((0.78+1.6*N390)/(M390*O390*J390)^0.5-0.1)*(1-0.37*Z390/1000)</f>
        <v>2.369693645636055</v>
      </c>
      <c r="AP390" s="31">
        <f>AO390*O390+BN390</f>
        <v>0.5789941907547349</v>
      </c>
      <c r="AQ390" s="31">
        <f>1-EXP(-AP390*M390*J390)</f>
        <v>0.1599360435541595</v>
      </c>
      <c r="AR390" s="31">
        <f>0.000000049*(0.82+1)/2*AQ390*Z390^3*(1-(AI390/Z390)^$L$10)/(1-AI390/Z390)</f>
        <v>18.556267289042495</v>
      </c>
      <c r="AS390" s="31">
        <f>AM390+AR390</f>
        <v>73.1517201990384</v>
      </c>
      <c r="AT390" s="31">
        <f>1/(1/AS390+L390+1/AN390)</f>
        <v>51.87208659326445</v>
      </c>
      <c r="AU390" s="31">
        <f>AT390*G390*AH390/E390</f>
        <v>200.51894278872675</v>
      </c>
      <c r="AW390" s="31">
        <f t="shared" si="36"/>
        <v>100</v>
      </c>
      <c r="AX390" s="31">
        <f t="shared" si="36"/>
        <v>0.994</v>
      </c>
      <c r="AY390" s="31">
        <f>Y390</f>
        <v>703.6792055262237</v>
      </c>
      <c r="AZ390" s="31">
        <f>AU390*AX390</f>
        <v>199.31582913199438</v>
      </c>
      <c r="BA390" s="31">
        <f>AY390+AZ390*E390/F390</f>
        <v>724.5343363513518</v>
      </c>
      <c r="BB390" s="31">
        <f>193.897+1.6984*AW390-0.0066353*AW390^2+0.0000121825*AW390^3</f>
        <v>309.56649999999996</v>
      </c>
      <c r="BC390" s="31">
        <f>3074.3-3.1077*AW390-2.3864*10^7*BA390^-1.3+22437.3*AW390*BA390^-1.3+0.0041697*AW390^2+4.8476*10^10*BA390^-2.6-177649*AW390^2*BA390^-2.6</f>
        <v>377.9259889608345</v>
      </c>
      <c r="BD390" s="31">
        <f>BC390+273</f>
        <v>650.9259889608345</v>
      </c>
      <c r="BF390" s="31">
        <f t="shared" si="37"/>
        <v>1.3130758017492712</v>
      </c>
      <c r="BG390" s="31">
        <f t="shared" si="37"/>
        <v>0.02</v>
      </c>
      <c r="BH390" s="31">
        <f>P390</f>
        <v>15.559873469387755</v>
      </c>
      <c r="BI390" s="31">
        <f>X390</f>
        <v>259.3002896513003</v>
      </c>
      <c r="BJ390" s="31">
        <f>BI390-AU390/BH390</f>
        <v>246.41336334157006</v>
      </c>
      <c r="BK390" s="31">
        <f>CC390</f>
        <v>705.4849037972815</v>
      </c>
      <c r="BM390" s="31">
        <f>7*(BP390*BO390)^-(2/3)</f>
        <v>0.010934694173821714</v>
      </c>
      <c r="BN390" s="31">
        <f>BM390*BU390</f>
        <v>0</v>
      </c>
      <c r="BO390" s="31">
        <f>Z390</f>
        <v>1012.3183653840834</v>
      </c>
      <c r="BP390" s="31">
        <f t="shared" si="41"/>
        <v>16</v>
      </c>
      <c r="BQ390" s="31">
        <f t="shared" si="41"/>
        <v>0.7120340712072314</v>
      </c>
      <c r="BR390" s="31">
        <f t="shared" si="41"/>
        <v>0.17163310965489723</v>
      </c>
      <c r="BS390" s="31">
        <f t="shared" si="41"/>
        <v>0.07269981997125521</v>
      </c>
      <c r="BT390" s="31">
        <f t="shared" si="41"/>
        <v>0.04500505271408481</v>
      </c>
      <c r="BU390" s="31">
        <f t="shared" si="41"/>
        <v>0</v>
      </c>
      <c r="BV390" s="31">
        <f>BJ390</f>
        <v>246.41336334157006</v>
      </c>
      <c r="BW390" s="31">
        <f>(0.309701-0.00000555238*(CC390+100)^1.1+0.0000000160444*(CC390+100)^2.2-0.00000000000568436*(CC390+100)^3.3+0.000000000000000856875*(CC390+100)^4.4-0.0000000000000000000482474*(CC390+100)^5.5)*CC390</f>
        <v>228.09735419907722</v>
      </c>
      <c r="BX390" s="31">
        <f>(0.356179-0.0000326182*(CC390+100)^0.8+0.00000129519*(CC390+100)^1.6-0.00000000148934*(CC390+100)^2.4-0.000000000000594678*(CC390+100)^3.2+0.00000000000000129158*(CC390+100)^4)*CC390</f>
        <v>276.84223422072955</v>
      </c>
      <c r="BY390" s="31">
        <f>(0.34584+0.0008688*(CC390+100)^0.82-0.00000109945*(CC390+100)^1.64+0.00000000054341*(CC390+100)^2.46)*CC390</f>
        <v>352.17711569888394</v>
      </c>
      <c r="BZ390" s="31">
        <f>(0.317715-0.000574557*(CC390+100)^0.7+0.0000164618*(CC390+100)^1.4-0.000000119525*(CC390+100)^2.1+0.000000000385185*(CC390+100)^2.8-0.000000000000467365*(CC390+100)^3.5)*CC390</f>
        <v>241.78994337183744</v>
      </c>
      <c r="CA390" s="31">
        <f>0.10364*CC390^1.12+0.26993*IF(CC390&lt;=1300,0,(CC390-1300)^0.9)</f>
        <v>160.63258794855494</v>
      </c>
      <c r="CB390" s="31">
        <f>BQ390*BW390+BR390*BX390+BS390*BY390+BT390*BZ390+0.001*BU390*CA390</f>
        <v>246.41336334156995</v>
      </c>
      <c r="CC390" s="31">
        <f>CC390+2.5*(BV390-CB390)</f>
        <v>705.4849037972815</v>
      </c>
    </row>
    <row r="391" spans="4:81" ht="15.75">
      <c r="D391" s="4">
        <v>5</v>
      </c>
      <c r="E391" s="31">
        <f t="shared" si="39"/>
        <v>16000</v>
      </c>
      <c r="F391" s="31">
        <f t="shared" si="39"/>
        <v>152914.56538212864</v>
      </c>
      <c r="G391" s="31">
        <f t="shared" si="39"/>
        <v>160</v>
      </c>
      <c r="H391" s="31">
        <f t="shared" si="39"/>
        <v>13.54</v>
      </c>
      <c r="I391" s="31">
        <f t="shared" si="39"/>
        <v>0.64</v>
      </c>
      <c r="J391" s="31">
        <f t="shared" si="39"/>
        <v>0.301</v>
      </c>
      <c r="K391" s="31">
        <f t="shared" si="39"/>
        <v>30.4</v>
      </c>
      <c r="L391" s="31">
        <f t="shared" si="39"/>
        <v>0.005</v>
      </c>
      <c r="M391" s="31">
        <f t="shared" si="39"/>
        <v>1</v>
      </c>
      <c r="N391" s="31">
        <f t="shared" si="39"/>
        <v>0.17163310965489723</v>
      </c>
      <c r="O391" s="31">
        <f t="shared" si="39"/>
        <v>0.24433292962615244</v>
      </c>
      <c r="P391" s="31">
        <f t="shared" si="39"/>
        <v>15.559873469387755</v>
      </c>
      <c r="Q391" s="31">
        <f t="shared" si="39"/>
        <v>0.1171</v>
      </c>
      <c r="S391" s="31">
        <f t="shared" si="40"/>
        <v>100</v>
      </c>
      <c r="T391" s="31">
        <f t="shared" si="40"/>
        <v>0.994</v>
      </c>
      <c r="U391" s="31">
        <f t="shared" si="40"/>
        <v>1.3130758017492712</v>
      </c>
      <c r="V391" s="31">
        <f t="shared" si="40"/>
        <v>0.02</v>
      </c>
      <c r="X391" s="31">
        <f>AC390</f>
        <v>246.41336334157006</v>
      </c>
      <c r="Y391" s="31">
        <f>Y384</f>
        <v>684.0812730222092</v>
      </c>
      <c r="Z391" s="31">
        <f>AE390</f>
        <v>978.4849037972815</v>
      </c>
      <c r="AA391" s="31">
        <f>AA384</f>
        <v>605.6377171438701</v>
      </c>
      <c r="AC391" s="31">
        <f>BJ391</f>
        <v>234.30329248562524</v>
      </c>
      <c r="AD391" s="31">
        <f>BA391</f>
        <v>703.6792055262237</v>
      </c>
      <c r="AE391" s="31">
        <f>BK391+273</f>
        <v>946.462439935756</v>
      </c>
      <c r="AF391" s="31">
        <f>BD391</f>
        <v>625.7541148247778</v>
      </c>
      <c r="AH391" s="31">
        <f>Z391-AA391</f>
        <v>372.8471866534114</v>
      </c>
      <c r="AI391" s="31">
        <f>AA391+(L391+1/AN391)*AU391*E391/G391</f>
        <v>711.3094014775324</v>
      </c>
      <c r="AJ391" s="31">
        <f>Z391-273</f>
        <v>705.4849037972815</v>
      </c>
      <c r="AK391" s="31">
        <f>E391*P391/(3600*K391)*(AJ391+273)/273</f>
        <v>8.15345055737193</v>
      </c>
      <c r="AL391" s="31">
        <f>1.1077-0.002944*AJ391^0.7+0.67936*N391+0.0050854*AJ391^0.7*N391+0.0000089737*AJ391^1.4-2.4659*N391^2-0.000046377*AJ391^1.4*N391^2+23.168*AJ391^-0.1*N391^4</f>
        <v>1.031827901978394</v>
      </c>
      <c r="AM391" s="31">
        <f>H391*AL391*AK391^I391</f>
        <v>53.51609978008158</v>
      </c>
      <c r="AN391" s="31">
        <f>Q391*F391^0.8</f>
        <v>1644.8109131775936</v>
      </c>
      <c r="AO391" s="31">
        <f>((0.78+1.6*N391)/(M391*O391*J391)^0.5-0.1)*(1-0.37*Z391/1000)</f>
        <v>2.4171236514412997</v>
      </c>
      <c r="AP391" s="31">
        <f>AO391*O391+BN391</f>
        <v>0.5905829030253157</v>
      </c>
      <c r="AQ391" s="31">
        <f>1-EXP(-AP391*M391*J391)</f>
        <v>0.16286125183236955</v>
      </c>
      <c r="AR391" s="31">
        <f>0.000000049*(0.82+1)/2*AQ391*Z391^3*(1-(AI391/Z391)^$L$10)/(1-AI391/Z391)</f>
        <v>17.011013891557422</v>
      </c>
      <c r="AS391" s="31">
        <f>AM391+AR391</f>
        <v>70.527113671639</v>
      </c>
      <c r="AT391" s="31">
        <f>1/(1/AS391+L391+1/AN391)</f>
        <v>50.538444963239684</v>
      </c>
      <c r="AU391" s="31">
        <f>AT391*G391*AH391/E391</f>
        <v>188.43117022382188</v>
      </c>
      <c r="AW391" s="31">
        <f t="shared" si="36"/>
        <v>100</v>
      </c>
      <c r="AX391" s="31">
        <f t="shared" si="36"/>
        <v>0.994</v>
      </c>
      <c r="AY391" s="31">
        <f>Y391</f>
        <v>684.0812730222092</v>
      </c>
      <c r="AZ391" s="31">
        <f>AU391*AX391</f>
        <v>187.30058320247895</v>
      </c>
      <c r="BA391" s="31">
        <f>AY391+AZ391*E391/F391</f>
        <v>703.6792055262237</v>
      </c>
      <c r="BB391" s="31">
        <f>193.897+1.6984*AW391-0.0066353*AW391^2+0.0000121825*AW391^3</f>
        <v>309.56649999999996</v>
      </c>
      <c r="BC391" s="31">
        <f>3074.3-3.1077*AW391-2.3864*10^7*BA391^-1.3+22437.3*AW391*BA391^-1.3+0.0041697*AW391^2+4.8476*10^10*BA391^-2.6-177649*AW391^2*BA391^-2.6</f>
        <v>352.75411482477784</v>
      </c>
      <c r="BD391" s="31">
        <f>BC391+273</f>
        <v>625.7541148247778</v>
      </c>
      <c r="BF391" s="31">
        <f t="shared" si="37"/>
        <v>1.3130758017492712</v>
      </c>
      <c r="BG391" s="31">
        <f t="shared" si="37"/>
        <v>0.02</v>
      </c>
      <c r="BH391" s="31">
        <f>P391</f>
        <v>15.559873469387755</v>
      </c>
      <c r="BI391" s="31">
        <f>X391</f>
        <v>246.41336334157006</v>
      </c>
      <c r="BJ391" s="31">
        <f>BI391-AU391/BH391</f>
        <v>234.30329248562524</v>
      </c>
      <c r="BK391" s="31">
        <f>CC391</f>
        <v>673.462439935756</v>
      </c>
      <c r="BM391" s="31">
        <f>7*(BP391*BO391)^-(2/3)</f>
        <v>0.01118532562685006</v>
      </c>
      <c r="BN391" s="31">
        <f>BM391*BU391</f>
        <v>0</v>
      </c>
      <c r="BO391" s="31">
        <f>Z391</f>
        <v>978.4849037972815</v>
      </c>
      <c r="BP391" s="31">
        <f t="shared" si="41"/>
        <v>16</v>
      </c>
      <c r="BQ391" s="31">
        <f t="shared" si="41"/>
        <v>0.7120340712072314</v>
      </c>
      <c r="BR391" s="31">
        <f t="shared" si="41"/>
        <v>0.17163310965489723</v>
      </c>
      <c r="BS391" s="31">
        <f t="shared" si="41"/>
        <v>0.07269981997125521</v>
      </c>
      <c r="BT391" s="31">
        <f t="shared" si="41"/>
        <v>0.04500505271408481</v>
      </c>
      <c r="BU391" s="31">
        <f t="shared" si="41"/>
        <v>0</v>
      </c>
      <c r="BV391" s="31">
        <f>BJ391</f>
        <v>234.30329248562524</v>
      </c>
      <c r="BW391" s="31">
        <f>(0.309701-0.00000555238*(CC391+100)^1.1+0.0000000160444*(CC391+100)^2.2-0.00000000000568436*(CC391+100)^3.3+0.000000000000000856875*(CC391+100)^4.4-0.0000000000000000000482474*(CC391+100)^5.5)*CC391</f>
        <v>217.06986478473428</v>
      </c>
      <c r="BX391" s="31">
        <f>(0.356179-0.0000326182*(CC391+100)^0.8+0.00000129519*(CC391+100)^1.6-0.00000000148934*(CC391+100)^2.4-0.000000000000594678*(CC391+100)^3.2+0.00000000000000129158*(CC391+100)^4)*CC391</f>
        <v>262.8972970573283</v>
      </c>
      <c r="BY391" s="31">
        <f>(0.34584+0.0008688*(CC391+100)^0.82-0.00000109945*(CC391+100)^1.64+0.00000000054341*(CC391+100)^2.46)*CC391</f>
        <v>333.85833556172446</v>
      </c>
      <c r="BZ391" s="31">
        <f>(0.317715-0.000574557*(CC391+100)^0.7+0.0000164618*(CC391+100)^1.4-0.000000119525*(CC391+100)^2.1+0.000000000385185*(CC391+100)^2.8-0.000000000000467365*(CC391+100)^3.5)*CC391</f>
        <v>229.9482124204257</v>
      </c>
      <c r="CA391" s="31">
        <f>0.10364*CC391^1.12+0.26993*IF(CC391&lt;=1300,0,(CC391-1300)^0.9)</f>
        <v>152.48895537231053</v>
      </c>
      <c r="CB391" s="31">
        <f>BQ391*BW391+BR391*BX391+BS391*BY391+BT391*BZ391+0.001*BU391*CA391</f>
        <v>234.3032924856252</v>
      </c>
      <c r="CC391" s="31">
        <f>CC391+2.5*(BV391-CB391)</f>
        <v>673.462439935756</v>
      </c>
    </row>
    <row r="392" ht="15">
      <c r="F392" s="1" t="s">
        <v>1082</v>
      </c>
    </row>
    <row r="393" spans="5:10" ht="15">
      <c r="E393" s="24" t="s">
        <v>1083</v>
      </c>
      <c r="F393" s="24"/>
      <c r="G393" s="24"/>
      <c r="H393" s="24"/>
      <c r="I393" s="24"/>
      <c r="J393" s="24"/>
    </row>
    <row r="396" spans="5:9" ht="15">
      <c r="E396" s="24" t="s">
        <v>1084</v>
      </c>
      <c r="F396" s="24"/>
      <c r="G396" s="24"/>
      <c r="H396" s="24"/>
      <c r="I396" s="24"/>
    </row>
    <row r="397" spans="5:6" ht="15">
      <c r="E397" s="2" t="s">
        <v>1085</v>
      </c>
      <c r="F397" s="1" t="s">
        <v>1086</v>
      </c>
    </row>
    <row r="398" ht="15">
      <c r="E398" s="1" t="s">
        <v>1087</v>
      </c>
    </row>
    <row r="399" spans="5:10" ht="15.75">
      <c r="E399" s="18"/>
      <c r="F399" s="18"/>
      <c r="G399" s="7" t="s">
        <v>1014</v>
      </c>
      <c r="H399" s="27" t="s">
        <v>109</v>
      </c>
      <c r="I399" s="7" t="s">
        <v>852</v>
      </c>
      <c r="J399" s="7" t="s">
        <v>1088</v>
      </c>
    </row>
    <row r="400" spans="7:10" ht="15">
      <c r="G400" s="4">
        <v>172112.42951668185</v>
      </c>
      <c r="H400" s="27">
        <v>100</v>
      </c>
      <c r="I400" s="4">
        <v>260</v>
      </c>
      <c r="J400" s="4">
        <v>246</v>
      </c>
    </row>
    <row r="402" ht="15">
      <c r="D402" s="1" t="s">
        <v>941</v>
      </c>
    </row>
    <row r="403" spans="4:13" ht="15.75">
      <c r="D403" s="7" t="s">
        <v>1066</v>
      </c>
      <c r="E403" s="7" t="s">
        <v>1067</v>
      </c>
      <c r="F403" s="7" t="s">
        <v>1010</v>
      </c>
      <c r="G403" s="7" t="s">
        <v>1118</v>
      </c>
      <c r="H403" s="7" t="s">
        <v>1069</v>
      </c>
      <c r="I403" s="7" t="s">
        <v>1070</v>
      </c>
      <c r="J403" s="7" t="s">
        <v>1071</v>
      </c>
      <c r="K403" s="7" t="s">
        <v>1036</v>
      </c>
      <c r="L403" s="1" t="s">
        <v>695</v>
      </c>
      <c r="M403" s="3" t="s">
        <v>1119</v>
      </c>
    </row>
    <row r="404" spans="4:13" ht="15">
      <c r="D404" s="4">
        <v>0.03</v>
      </c>
      <c r="E404" s="4">
        <v>15.559873469387755</v>
      </c>
      <c r="F404" s="4">
        <v>274.2393043132837</v>
      </c>
      <c r="G404" s="4">
        <v>0.07269981997125521</v>
      </c>
      <c r="H404" s="4">
        <v>0.7120340712072314</v>
      </c>
      <c r="I404" s="4">
        <v>0.17163310965489723</v>
      </c>
      <c r="J404" s="4">
        <v>0.04500505271408481</v>
      </c>
      <c r="K404" s="4">
        <v>10</v>
      </c>
      <c r="L404" s="4">
        <v>0.02</v>
      </c>
      <c r="M404" s="4">
        <v>0</v>
      </c>
    </row>
    <row r="405" spans="4:27" ht="15.75">
      <c r="D405" s="7" t="s">
        <v>1072</v>
      </c>
      <c r="E405" s="7" t="s">
        <v>699</v>
      </c>
      <c r="F405" s="7" t="s">
        <v>1011</v>
      </c>
      <c r="G405" s="7" t="s">
        <v>1540</v>
      </c>
      <c r="H405" s="7" t="s">
        <v>644</v>
      </c>
      <c r="I405" s="7" t="s">
        <v>102</v>
      </c>
      <c r="J405" s="7" t="s">
        <v>646</v>
      </c>
      <c r="K405" s="3" t="s">
        <v>706</v>
      </c>
      <c r="L405" s="7" t="s">
        <v>1012</v>
      </c>
      <c r="M405" s="3" t="s">
        <v>1597</v>
      </c>
      <c r="N405" s="3" t="s">
        <v>1600</v>
      </c>
      <c r="O405" s="1" t="s">
        <v>644</v>
      </c>
      <c r="P405" s="1" t="s">
        <v>102</v>
      </c>
      <c r="Q405" s="1" t="s">
        <v>1540</v>
      </c>
      <c r="R405" s="1" t="s">
        <v>646</v>
      </c>
      <c r="S405" s="3" t="s">
        <v>1597</v>
      </c>
      <c r="T405" s="3" t="s">
        <v>369</v>
      </c>
      <c r="U405" s="1" t="s">
        <v>88</v>
      </c>
      <c r="V405" s="1" t="s">
        <v>306</v>
      </c>
      <c r="W405" s="1" t="s">
        <v>1508</v>
      </c>
      <c r="X405" s="1" t="s">
        <v>387</v>
      </c>
      <c r="Y405" s="3" t="s">
        <v>397</v>
      </c>
      <c r="Z405" s="3" t="s">
        <v>404</v>
      </c>
      <c r="AA405" s="3" t="s">
        <v>544</v>
      </c>
    </row>
    <row r="406" spans="4:27" ht="15.75">
      <c r="D406" s="31">
        <f>D404*$D$10/(1-L404)</f>
        <v>0.29112244897959183</v>
      </c>
      <c r="E406" s="31">
        <f>E404+D406</f>
        <v>15.850995918367346</v>
      </c>
      <c r="F406" s="31">
        <f>(F404*E404+K404*D406)/E406</f>
        <v>269.38623427374074</v>
      </c>
      <c r="G406" s="31">
        <f>G404*E404/E406</f>
        <v>0.07136460105255732</v>
      </c>
      <c r="H406" s="31">
        <f>(H404*E404+0.79*D406)/E406</f>
        <v>0.7134660084964726</v>
      </c>
      <c r="I406" s="31">
        <f>(I404*E404+L404*D406)/E406</f>
        <v>0.16884818671021506</v>
      </c>
      <c r="J406" s="31">
        <f>(J404*E404+0.21*D406)/E406</f>
        <v>0.04803538174643761</v>
      </c>
      <c r="K406" s="31">
        <f>1+J406*$E$10/(G406*0.21*$D$10)</f>
        <v>1.340408163265306</v>
      </c>
      <c r="L406" s="31">
        <f>AA406</f>
        <v>766.1633585518656</v>
      </c>
      <c r="M406" s="31">
        <f>M404*E404/E406</f>
        <v>0</v>
      </c>
      <c r="N406" s="4">
        <v>16</v>
      </c>
      <c r="O406" s="31">
        <f>H406</f>
        <v>0.7134660084964726</v>
      </c>
      <c r="P406" s="31">
        <f>I406</f>
        <v>0.16884818671021506</v>
      </c>
      <c r="Q406" s="31">
        <f>G406</f>
        <v>0.07136460105255732</v>
      </c>
      <c r="R406" s="31">
        <f>J406</f>
        <v>0.04803538174643761</v>
      </c>
      <c r="S406" s="31">
        <f>M406</f>
        <v>0</v>
      </c>
      <c r="T406" s="31">
        <f>F406</f>
        <v>269.38623427374074</v>
      </c>
      <c r="U406" s="31">
        <f>(0.309701-0.00000555238*(AA406+100)^1.1+0.0000000160444*(AA406+100)^2.2-0.00000000000568436*(AA406+100)^3.3+0.000000000000000856875*(AA406+100)^4.4-0.0000000000000000000482474*(AA406+100)^5.5)*AA406</f>
        <v>249.17667385404184</v>
      </c>
      <c r="V406" s="31">
        <f>(0.356179-0.0000326182*(AA406+100)^0.8+0.00000129519*(AA406+100)^1.6-0.00000000148934*(AA406+100)^2.4-0.000000000000594678*(AA406+100)^3.2+0.00000000000000129158*(AA406+100)^4)*AA406</f>
        <v>303.6494783682409</v>
      </c>
      <c r="W406" s="31">
        <f>(0.34584+0.0008688*(AA406+100)^0.82-0.00000109945*(AA406+100)^1.64+0.00000000054341*(AA406+100)^2.46)*AA406</f>
        <v>387.2650540620909</v>
      </c>
      <c r="X406" s="31">
        <f>(0.317715-0.000574557*(AA406+100)^0.7+0.0000164618*(AA406+100)^1.4-0.000000119525*(AA406+100)^2.1+0.000000000385185*(AA406+100)^2.8-0.000000000000467365*(AA406+100)^3.5)*AA406</f>
        <v>264.37736110827603</v>
      </c>
      <c r="Y406" s="31">
        <f>0.10364*AA406^1.12+0.26993*IF(AA406&lt;=1300,0,(AA406-1300)^0.9)</f>
        <v>176.18435785019332</v>
      </c>
      <c r="Z406" s="31">
        <f>O406*U406+P406*V406+Q406*W406+R406*X406+0.001*S406*Y406</f>
        <v>269.38623427374074</v>
      </c>
      <c r="AA406" s="31">
        <f>AA406+2.5*(T406-Z406)</f>
        <v>766.1633585518656</v>
      </c>
    </row>
    <row r="407" spans="7:10" ht="15">
      <c r="G407" s="25" t="s">
        <v>835</v>
      </c>
      <c r="H407" s="26">
        <v>16000</v>
      </c>
      <c r="I407" s="25" t="s">
        <v>1048</v>
      </c>
      <c r="J407" s="26">
        <v>1</v>
      </c>
    </row>
    <row r="409" ht="15">
      <c r="G409" s="1" t="s">
        <v>1056</v>
      </c>
    </row>
    <row r="410" spans="5:73" ht="15.75">
      <c r="E410" s="1" t="s">
        <v>1042</v>
      </c>
      <c r="F410" s="1" t="s">
        <v>1043</v>
      </c>
      <c r="R410" s="1" t="s">
        <v>1044</v>
      </c>
      <c r="S410" s="12" t="s">
        <v>1045</v>
      </c>
      <c r="T410" s="13"/>
      <c r="U410" s="13"/>
      <c r="V410" s="13"/>
      <c r="W410" s="1" t="s">
        <v>1046</v>
      </c>
      <c r="X410" s="12" t="s">
        <v>1047</v>
      </c>
      <c r="Y410" s="13"/>
      <c r="Z410" s="13"/>
      <c r="AA410" s="13"/>
      <c r="BO410" s="1" t="s">
        <v>1109</v>
      </c>
      <c r="BP410" s="14" t="s">
        <v>1110</v>
      </c>
      <c r="BQ410" s="15"/>
      <c r="BR410" s="15"/>
      <c r="BS410" s="15"/>
      <c r="BT410" s="15"/>
      <c r="BU410" s="15"/>
    </row>
    <row r="411" spans="5:73" ht="15.75">
      <c r="E411" s="24" t="s">
        <v>835</v>
      </c>
      <c r="F411" s="24" t="s">
        <v>1014</v>
      </c>
      <c r="G411" s="24" t="s">
        <v>997</v>
      </c>
      <c r="H411" s="24" t="s">
        <v>989</v>
      </c>
      <c r="I411" s="24" t="s">
        <v>990</v>
      </c>
      <c r="J411" s="24" t="s">
        <v>815</v>
      </c>
      <c r="K411" s="24" t="s">
        <v>988</v>
      </c>
      <c r="L411" s="24" t="s">
        <v>995</v>
      </c>
      <c r="M411" s="24" t="s">
        <v>1048</v>
      </c>
      <c r="N411" s="24" t="s">
        <v>102</v>
      </c>
      <c r="O411" s="24" t="s">
        <v>647</v>
      </c>
      <c r="P411" s="24" t="s">
        <v>699</v>
      </c>
      <c r="Q411" s="24" t="s">
        <v>994</v>
      </c>
      <c r="S411" s="24" t="s">
        <v>109</v>
      </c>
      <c r="T411" s="24" t="s">
        <v>840</v>
      </c>
      <c r="U411" s="24" t="s">
        <v>706</v>
      </c>
      <c r="V411" s="24" t="s">
        <v>695</v>
      </c>
      <c r="X411" s="24" t="s">
        <v>1011</v>
      </c>
      <c r="Y411" s="24" t="s">
        <v>852</v>
      </c>
      <c r="Z411" s="24" t="s">
        <v>992</v>
      </c>
      <c r="AA411" s="24" t="s">
        <v>996</v>
      </c>
      <c r="BP411" s="14" t="s">
        <v>1600</v>
      </c>
      <c r="BQ411" s="14" t="s">
        <v>644</v>
      </c>
      <c r="BR411" s="14" t="s">
        <v>102</v>
      </c>
      <c r="BS411" s="14" t="s">
        <v>1540</v>
      </c>
      <c r="BT411" s="14" t="s">
        <v>646</v>
      </c>
      <c r="BU411" s="14" t="s">
        <v>1597</v>
      </c>
    </row>
    <row r="412" spans="5:73" ht="15.75">
      <c r="E412" s="31">
        <f>H407</f>
        <v>16000</v>
      </c>
      <c r="F412" s="31">
        <f>G400</f>
        <v>172112.42951668185</v>
      </c>
      <c r="G412" s="31">
        <f>952/5</f>
        <v>190.4</v>
      </c>
      <c r="H412" s="4">
        <v>19.664</v>
      </c>
      <c r="I412" s="4">
        <v>0.6</v>
      </c>
      <c r="J412" s="4">
        <v>0.236</v>
      </c>
      <c r="K412" s="4">
        <v>19.8</v>
      </c>
      <c r="L412" s="4">
        <v>0.005</v>
      </c>
      <c r="M412" s="31">
        <f>J407</f>
        <v>1</v>
      </c>
      <c r="N412" s="31">
        <f>I406</f>
        <v>0.16884818671021506</v>
      </c>
      <c r="O412" s="31">
        <f>N412+G406</f>
        <v>0.24021278776277238</v>
      </c>
      <c r="P412" s="31">
        <f>E406</f>
        <v>15.850995918367346</v>
      </c>
      <c r="Q412" s="4">
        <v>100000</v>
      </c>
      <c r="S412" s="4">
        <v>100</v>
      </c>
      <c r="T412" s="4">
        <v>0.994</v>
      </c>
      <c r="U412" s="31">
        <f>K406</f>
        <v>1.340408163265306</v>
      </c>
      <c r="V412" s="31">
        <f>L404</f>
        <v>0.02</v>
      </c>
      <c r="X412" s="31">
        <f>F406</f>
        <v>269.38623427374074</v>
      </c>
      <c r="Y412" s="31">
        <f>I400</f>
        <v>260</v>
      </c>
      <c r="Z412" s="31">
        <f>L406+273</f>
        <v>1039.1633585518657</v>
      </c>
      <c r="AA412" s="31">
        <f>J400+273</f>
        <v>519</v>
      </c>
      <c r="BP412" s="31">
        <f>N406</f>
        <v>16</v>
      </c>
      <c r="BQ412" s="31">
        <f>H406</f>
        <v>0.7134660084964726</v>
      </c>
      <c r="BR412" s="31">
        <f>I406</f>
        <v>0.16884818671021506</v>
      </c>
      <c r="BS412" s="31">
        <f>G406</f>
        <v>0.07136460105255732</v>
      </c>
      <c r="BT412" s="31">
        <f>J406</f>
        <v>0.04803538174643761</v>
      </c>
      <c r="BU412" s="31">
        <f>M406</f>
        <v>0</v>
      </c>
    </row>
    <row r="413" spans="28:65" ht="15.75">
      <c r="AB413" s="1" t="s">
        <v>1049</v>
      </c>
      <c r="AC413" s="12" t="s">
        <v>1050</v>
      </c>
      <c r="AD413" s="13"/>
      <c r="AE413" s="13"/>
      <c r="AF413" s="13"/>
      <c r="AI413" s="1" t="s">
        <v>987</v>
      </c>
      <c r="AW413" s="1" t="s">
        <v>1051</v>
      </c>
      <c r="BF413" s="1" t="s">
        <v>1009</v>
      </c>
      <c r="BM413" s="1" t="s">
        <v>1112</v>
      </c>
    </row>
    <row r="414" spans="4:81" ht="15.75">
      <c r="D414" s="5" t="s">
        <v>1052</v>
      </c>
      <c r="E414" s="3" t="s">
        <v>835</v>
      </c>
      <c r="F414" s="3" t="s">
        <v>1014</v>
      </c>
      <c r="G414" s="3" t="s">
        <v>997</v>
      </c>
      <c r="H414" s="3" t="s">
        <v>989</v>
      </c>
      <c r="I414" s="3" t="s">
        <v>990</v>
      </c>
      <c r="J414" s="3" t="s">
        <v>815</v>
      </c>
      <c r="K414" s="3" t="s">
        <v>988</v>
      </c>
      <c r="L414" s="3" t="s">
        <v>995</v>
      </c>
      <c r="M414" s="3" t="s">
        <v>1048</v>
      </c>
      <c r="N414" s="3" t="s">
        <v>102</v>
      </c>
      <c r="O414" s="3" t="s">
        <v>647</v>
      </c>
      <c r="P414" s="3" t="s">
        <v>699</v>
      </c>
      <c r="Q414" s="3" t="s">
        <v>994</v>
      </c>
      <c r="S414" s="3" t="s">
        <v>109</v>
      </c>
      <c r="T414" s="3" t="s">
        <v>840</v>
      </c>
      <c r="U414" s="3" t="s">
        <v>706</v>
      </c>
      <c r="V414" s="1" t="s">
        <v>695</v>
      </c>
      <c r="X414" s="3" t="s">
        <v>1011</v>
      </c>
      <c r="Y414" s="3" t="s">
        <v>852</v>
      </c>
      <c r="Z414" s="3" t="s">
        <v>992</v>
      </c>
      <c r="AA414" s="3" t="s">
        <v>996</v>
      </c>
      <c r="AC414" s="24" t="s">
        <v>1011</v>
      </c>
      <c r="AD414" s="24" t="s">
        <v>852</v>
      </c>
      <c r="AE414" s="24" t="s">
        <v>992</v>
      </c>
      <c r="AF414" s="24" t="s">
        <v>996</v>
      </c>
      <c r="AH414" s="3" t="s">
        <v>1003</v>
      </c>
      <c r="AI414" s="3" t="s">
        <v>991</v>
      </c>
      <c r="AJ414" s="3" t="s">
        <v>1053</v>
      </c>
      <c r="AK414" s="3" t="s">
        <v>209</v>
      </c>
      <c r="AL414" s="3" t="s">
        <v>206</v>
      </c>
      <c r="AM414" s="3" t="s">
        <v>993</v>
      </c>
      <c r="AN414" s="3" t="s">
        <v>994</v>
      </c>
      <c r="AO414" s="3" t="s">
        <v>820</v>
      </c>
      <c r="AP414" s="3" t="s">
        <v>998</v>
      </c>
      <c r="AQ414" s="3" t="s">
        <v>999</v>
      </c>
      <c r="AR414" s="3" t="s">
        <v>1000</v>
      </c>
      <c r="AS414" s="3" t="s">
        <v>1001</v>
      </c>
      <c r="AT414" s="3" t="s">
        <v>1002</v>
      </c>
      <c r="AU414" s="3" t="s">
        <v>1004</v>
      </c>
      <c r="AW414" s="3" t="s">
        <v>109</v>
      </c>
      <c r="AX414" s="3" t="s">
        <v>840</v>
      </c>
      <c r="AY414" s="3" t="s">
        <v>1015</v>
      </c>
      <c r="AZ414" s="3" t="s">
        <v>1007</v>
      </c>
      <c r="BA414" s="3" t="s">
        <v>852</v>
      </c>
      <c r="BB414" s="3" t="s">
        <v>865</v>
      </c>
      <c r="BC414" s="3" t="s">
        <v>544</v>
      </c>
      <c r="BD414" s="3" t="s">
        <v>996</v>
      </c>
      <c r="BF414" s="3" t="s">
        <v>706</v>
      </c>
      <c r="BG414" s="1" t="s">
        <v>695</v>
      </c>
      <c r="BH414" s="3" t="s">
        <v>699</v>
      </c>
      <c r="BI414" s="3" t="s">
        <v>1010</v>
      </c>
      <c r="BJ414" s="3" t="s">
        <v>1011</v>
      </c>
      <c r="BK414" s="3" t="s">
        <v>1053</v>
      </c>
      <c r="BL414" s="1" t="s">
        <v>1113</v>
      </c>
      <c r="BM414" s="3" t="s">
        <v>1604</v>
      </c>
      <c r="BN414" s="3" t="s">
        <v>1114</v>
      </c>
      <c r="BO414" s="14" t="s">
        <v>1115</v>
      </c>
      <c r="BP414" s="14" t="s">
        <v>1600</v>
      </c>
      <c r="BQ414" s="14" t="s">
        <v>644</v>
      </c>
      <c r="BR414" s="14" t="s">
        <v>102</v>
      </c>
      <c r="BS414" s="14" t="s">
        <v>1540</v>
      </c>
      <c r="BT414" s="14" t="s">
        <v>646</v>
      </c>
      <c r="BU414" s="14" t="s">
        <v>1597</v>
      </c>
      <c r="BV414" s="14" t="s">
        <v>369</v>
      </c>
      <c r="BW414" s="1" t="s">
        <v>88</v>
      </c>
      <c r="BX414" s="1" t="s">
        <v>306</v>
      </c>
      <c r="BY414" s="1" t="s">
        <v>1508</v>
      </c>
      <c r="BZ414" s="1" t="s">
        <v>387</v>
      </c>
      <c r="CA414" s="3" t="s">
        <v>397</v>
      </c>
      <c r="CB414" s="3" t="s">
        <v>404</v>
      </c>
      <c r="CC414" s="3" t="s">
        <v>544</v>
      </c>
    </row>
    <row r="415" spans="4:81" ht="15.75">
      <c r="D415" s="4">
        <v>1</v>
      </c>
      <c r="E415" s="31">
        <f aca="true" t="shared" si="42" ref="E415:Q415">E412</f>
        <v>16000</v>
      </c>
      <c r="F415" s="31">
        <f t="shared" si="42"/>
        <v>172112.42951668185</v>
      </c>
      <c r="G415" s="31">
        <f t="shared" si="42"/>
        <v>190.4</v>
      </c>
      <c r="H415" s="31">
        <f t="shared" si="42"/>
        <v>19.664</v>
      </c>
      <c r="I415" s="31">
        <f t="shared" si="42"/>
        <v>0.6</v>
      </c>
      <c r="J415" s="31">
        <f t="shared" si="42"/>
        <v>0.236</v>
      </c>
      <c r="K415" s="31">
        <f t="shared" si="42"/>
        <v>19.8</v>
      </c>
      <c r="L415" s="31">
        <f t="shared" si="42"/>
        <v>0.005</v>
      </c>
      <c r="M415" s="31">
        <f t="shared" si="42"/>
        <v>1</v>
      </c>
      <c r="N415" s="31">
        <f t="shared" si="42"/>
        <v>0.16884818671021506</v>
      </c>
      <c r="O415" s="31">
        <f t="shared" si="42"/>
        <v>0.24021278776277238</v>
      </c>
      <c r="P415" s="31">
        <f t="shared" si="42"/>
        <v>15.850995918367346</v>
      </c>
      <c r="Q415" s="31">
        <f t="shared" si="42"/>
        <v>100000</v>
      </c>
      <c r="S415" s="31">
        <f>S412</f>
        <v>100</v>
      </c>
      <c r="T415" s="31">
        <f>T412</f>
        <v>0.994</v>
      </c>
      <c r="U415" s="31">
        <f>U412</f>
        <v>1.340408163265306</v>
      </c>
      <c r="V415" s="31">
        <f>V412</f>
        <v>0.02</v>
      </c>
      <c r="X415" s="31">
        <f>X412</f>
        <v>269.38623427374074</v>
      </c>
      <c r="Y415" s="31">
        <f>AD416</f>
        <v>363.0272959104418</v>
      </c>
      <c r="Z415" s="31">
        <f>Z412</f>
        <v>1039.1633585518657</v>
      </c>
      <c r="AA415" s="31">
        <f>AF416</f>
        <v>603.1996240953802</v>
      </c>
      <c r="AC415" s="31">
        <f>BJ415</f>
        <v>245.62711554303772</v>
      </c>
      <c r="AD415" s="31">
        <f>BA415</f>
        <v>397.82743773972896</v>
      </c>
      <c r="AE415" s="31">
        <f>BK415+273</f>
        <v>976.890612532853</v>
      </c>
      <c r="AF415" s="31">
        <f>BD415</f>
        <v>624.9323167127064</v>
      </c>
      <c r="AH415" s="31">
        <f>Z415-AA415</f>
        <v>435.96373445648555</v>
      </c>
      <c r="AI415" s="31">
        <f>AA415+(L415+1/AN415)*AU415*E415/G415</f>
        <v>761.753786033375</v>
      </c>
      <c r="AJ415" s="31">
        <f>Z415-273</f>
        <v>766.1633585518657</v>
      </c>
      <c r="AK415" s="31">
        <f>E415*P415/(3600*K415)*(AJ415+273)/273</f>
        <v>13.543472293075258</v>
      </c>
      <c r="AL415" s="31">
        <f>1.723-0.00072545*AJ415-2.1255*N415^0.1+0.00081189*AJ415*N415^0.1+0.00000015846*AJ415^2+1.5631*N415^0.2-0.00000016954*AJ415^2*N415^0.2+257255*AJ415^-0.8*N415^10</f>
        <v>1.027214131937656</v>
      </c>
      <c r="AM415" s="31">
        <f>H415*AL415*AK415^I415</f>
        <v>96.465243588928</v>
      </c>
      <c r="AN415" s="31">
        <f>Q415</f>
        <v>100000</v>
      </c>
      <c r="AO415" s="31">
        <f>((0.78+1.6*N415)/(M415*O415*J415)^0.5-0.1)*(1-0.37*Z415/1000)</f>
        <v>2.6532313509422303</v>
      </c>
      <c r="AP415" s="31">
        <f>AO415*O415+BN415</f>
        <v>0.6373400993894198</v>
      </c>
      <c r="AQ415" s="31">
        <f>1-EXP(-AP415*M415*J415)</f>
        <v>0.13964678888641519</v>
      </c>
      <c r="AR415" s="31">
        <f>0.000000049*(0.82+1)/2*AQ415*Z415^3*(1-(AI415/Z415)^$L$10)/(1-AI415/Z415)</f>
        <v>17.617111340852063</v>
      </c>
      <c r="AS415" s="31">
        <f>AM415+AR415</f>
        <v>114.08235492978007</v>
      </c>
      <c r="AT415" s="31">
        <f>1/(1/AS415+L415+1/AN415)</f>
        <v>72.59213281221176</v>
      </c>
      <c r="AU415" s="31">
        <f>AT415*G415*AH415/E415</f>
        <v>376.6056940243789</v>
      </c>
      <c r="AW415" s="31">
        <f aca="true" t="shared" si="43" ref="AW415:AX419">S415</f>
        <v>100</v>
      </c>
      <c r="AX415" s="31">
        <f t="shared" si="43"/>
        <v>0.994</v>
      </c>
      <c r="AY415" s="31">
        <f>Y415</f>
        <v>363.0272959104418</v>
      </c>
      <c r="AZ415" s="31">
        <f>AU415*AX415</f>
        <v>374.34605986023263</v>
      </c>
      <c r="BA415" s="31">
        <f>AY415+AZ415*E415/F415</f>
        <v>397.82743773972896</v>
      </c>
      <c r="BB415" s="31">
        <f>193.897+1.6984*AW415-0.0066353*AW415^2+0.0000121825*AW415^3</f>
        <v>309.56649999999996</v>
      </c>
      <c r="BC415" s="31">
        <f>7.058+0.37694*BA415^1.2-0.000087402*BA415^2.4+5.2177*10^12*BA415^-4*AW415^-2</f>
        <v>351.93231671270644</v>
      </c>
      <c r="BD415" s="31">
        <f>BC415+273</f>
        <v>624.9323167127064</v>
      </c>
      <c r="BF415" s="31">
        <f aca="true" t="shared" si="44" ref="BF415:BG419">U415</f>
        <v>1.340408163265306</v>
      </c>
      <c r="BG415" s="31">
        <f t="shared" si="44"/>
        <v>0.02</v>
      </c>
      <c r="BH415" s="31">
        <f>P415</f>
        <v>15.850995918367346</v>
      </c>
      <c r="BI415" s="31">
        <f>X415</f>
        <v>269.38623427374074</v>
      </c>
      <c r="BJ415" s="31">
        <f>BI415-AU415/BH415</f>
        <v>245.62711554303772</v>
      </c>
      <c r="BK415" s="31">
        <f>CC415</f>
        <v>703.890612532853</v>
      </c>
      <c r="BM415" s="31">
        <f>7*(BP415*BO415)^-(2/3)</f>
        <v>0.010745554594020679</v>
      </c>
      <c r="BN415" s="31">
        <f>BM415*BU415</f>
        <v>0</v>
      </c>
      <c r="BO415" s="31">
        <f>Z415</f>
        <v>1039.1633585518657</v>
      </c>
      <c r="BP415" s="31">
        <f aca="true" t="shared" si="45" ref="BP415:BU415">BP412</f>
        <v>16</v>
      </c>
      <c r="BQ415" s="31">
        <f t="shared" si="45"/>
        <v>0.7134660084964726</v>
      </c>
      <c r="BR415" s="31">
        <f t="shared" si="45"/>
        <v>0.16884818671021506</v>
      </c>
      <c r="BS415" s="31">
        <f t="shared" si="45"/>
        <v>0.07136460105255732</v>
      </c>
      <c r="BT415" s="31">
        <f t="shared" si="45"/>
        <v>0.04803538174643761</v>
      </c>
      <c r="BU415" s="31">
        <f t="shared" si="45"/>
        <v>0</v>
      </c>
      <c r="BV415" s="31">
        <f>BJ415</f>
        <v>245.62711554303772</v>
      </c>
      <c r="BW415" s="31">
        <f>(0.309701-0.00000555238*(CC415+100)^1.1+0.0000000160444*(CC415+100)^2.2-0.00000000000568436*(CC415+100)^3.3+0.000000000000000856875*(CC415+100)^4.4-0.0000000000000000000482474*(CC415+100)^5.5)*CC415</f>
        <v>227.546721779039</v>
      </c>
      <c r="BX415" s="31">
        <f>(0.356179-0.0000326182*(CC415+100)^0.8+0.00000129519*(CC415+100)^1.6-0.00000000148934*(CC415+100)^2.4-0.000000000000594678*(CC415+100)^3.2+0.00000000000000129158*(CC415+100)^4)*CC415</f>
        <v>276.14464634742757</v>
      </c>
      <c r="BY415" s="31">
        <f>(0.34584+0.0008688*(CC415+100)^0.82-0.00000109945*(CC415+100)^1.64+0.00000000054341*(CC415+100)^2.46)*CC415</f>
        <v>351.2617267531128</v>
      </c>
      <c r="BZ415" s="31">
        <f>(0.317715-0.000574557*(CC415+100)^0.7+0.0000164618*(CC415+100)^1.4-0.000000119525*(CC415+100)^2.1+0.000000000385185*(CC415+100)^2.8-0.000000000000467365*(CC415+100)^3.5)*CC415</f>
        <v>241.19904927129213</v>
      </c>
      <c r="CA415" s="31">
        <f>0.10364*CC415^1.12+0.26993*IF(CC415&lt;=1300,0,(CC415-1300)^0.9)</f>
        <v>160.22607658441464</v>
      </c>
      <c r="CB415" s="31">
        <f>BQ415*BW415+BR415*BX415+BS415*BY415+BT415*BZ415+0.001*BU415*CA415</f>
        <v>245.6271155430377</v>
      </c>
      <c r="CC415" s="31">
        <f>CC415+2.5*(BV415-CB415)</f>
        <v>703.890612532853</v>
      </c>
    </row>
    <row r="416" spans="4:81" ht="15.75">
      <c r="D416" s="4">
        <v>2</v>
      </c>
      <c r="E416" s="31">
        <f aca="true" t="shared" si="46" ref="E416:Q419">E415</f>
        <v>16000</v>
      </c>
      <c r="F416" s="31">
        <f t="shared" si="46"/>
        <v>172112.42951668185</v>
      </c>
      <c r="G416" s="31">
        <f t="shared" si="46"/>
        <v>190.4</v>
      </c>
      <c r="H416" s="31">
        <f t="shared" si="46"/>
        <v>19.664</v>
      </c>
      <c r="I416" s="31">
        <f t="shared" si="46"/>
        <v>0.6</v>
      </c>
      <c r="J416" s="31">
        <f t="shared" si="46"/>
        <v>0.236</v>
      </c>
      <c r="K416" s="31">
        <f t="shared" si="46"/>
        <v>19.8</v>
      </c>
      <c r="L416" s="31">
        <f t="shared" si="46"/>
        <v>0.005</v>
      </c>
      <c r="M416" s="31">
        <f t="shared" si="46"/>
        <v>1</v>
      </c>
      <c r="N416" s="31">
        <f t="shared" si="46"/>
        <v>0.16884818671021506</v>
      </c>
      <c r="O416" s="31">
        <f t="shared" si="46"/>
        <v>0.24021278776277238</v>
      </c>
      <c r="P416" s="31">
        <f t="shared" si="46"/>
        <v>15.850995918367346</v>
      </c>
      <c r="Q416" s="31">
        <f t="shared" si="46"/>
        <v>100000</v>
      </c>
      <c r="S416" s="31">
        <f aca="true" t="shared" si="47" ref="S416:V419">S415</f>
        <v>100</v>
      </c>
      <c r="T416" s="31">
        <f t="shared" si="47"/>
        <v>0.994</v>
      </c>
      <c r="U416" s="31">
        <f t="shared" si="47"/>
        <v>1.340408163265306</v>
      </c>
      <c r="V416" s="31">
        <f t="shared" si="47"/>
        <v>0.02</v>
      </c>
      <c r="X416" s="31">
        <f>AC415</f>
        <v>245.62711554303772</v>
      </c>
      <c r="Y416" s="31">
        <f>AD417</f>
        <v>332.5657183633326</v>
      </c>
      <c r="Z416" s="31">
        <f>AE415</f>
        <v>976.890612532853</v>
      </c>
      <c r="AA416" s="31">
        <f>AF417</f>
        <v>581.8952053657533</v>
      </c>
      <c r="AC416" s="31">
        <f>BJ416</f>
        <v>224.83006703626415</v>
      </c>
      <c r="AD416" s="31">
        <f>BA416</f>
        <v>363.0272959104418</v>
      </c>
      <c r="AE416" s="31">
        <f>BK416+273</f>
        <v>921.6826341137916</v>
      </c>
      <c r="AF416" s="31">
        <f>BD416</f>
        <v>603.1996240953802</v>
      </c>
      <c r="AH416" s="31">
        <f>Z416-AA416</f>
        <v>394.99540716709964</v>
      </c>
      <c r="AI416" s="31">
        <f>AA416+(L416+1/AN416)*AU416*E416/G416</f>
        <v>720.6822805157303</v>
      </c>
      <c r="AJ416" s="31">
        <f>Z416-273</f>
        <v>703.890612532853</v>
      </c>
      <c r="AK416" s="31">
        <f>E416*P416/(3600*K416)*(AJ416+273)/273</f>
        <v>12.731868223915695</v>
      </c>
      <c r="AL416" s="31">
        <f>1.723-0.00072545*AJ416-2.1255*N416^0.1+0.00081189*AJ416*N416^0.1+0.00000015846*AJ416^2+1.5631*N416^0.2-0.00000016954*AJ416^2*N416^0.2+257255*AJ416^-0.8*N416^10</f>
        <v>1.0264398762692266</v>
      </c>
      <c r="AM416" s="31">
        <f>H416*AL416*AK416^I416</f>
        <v>92.88394704147093</v>
      </c>
      <c r="AN416" s="31">
        <f>Q416</f>
        <v>100000</v>
      </c>
      <c r="AO416" s="31">
        <f>((0.78+1.6*N416)/(M416*O416*J416)^0.5-0.1)*(1-0.37*Z416/1000)</f>
        <v>2.752552117011185</v>
      </c>
      <c r="AP416" s="31">
        <f>AO416*O416+BN416</f>
        <v>0.6611982174895775</v>
      </c>
      <c r="AQ416" s="31">
        <f>1-EXP(-AP416*M416*J416)</f>
        <v>0.1444774090929607</v>
      </c>
      <c r="AR416" s="31">
        <f>0.000000049*(0.82+1)/2*AQ416*Z416^3*(1-(AI416/Z416)^$L$10)/(1-AI416/Z416)</f>
        <v>15.239043299561748</v>
      </c>
      <c r="AS416" s="31">
        <f>AM416+AR416</f>
        <v>108.12299034103268</v>
      </c>
      <c r="AT416" s="31">
        <f>1/(1/AS416+L416+1/AN416)</f>
        <v>70.13248889818188</v>
      </c>
      <c r="AU416" s="31">
        <f>AT416*G416*AH416/E416</f>
        <v>329.65393099495543</v>
      </c>
      <c r="AW416" s="31">
        <f t="shared" si="43"/>
        <v>100</v>
      </c>
      <c r="AX416" s="31">
        <f t="shared" si="43"/>
        <v>0.994</v>
      </c>
      <c r="AY416" s="31">
        <f>Y416</f>
        <v>332.5657183633326</v>
      </c>
      <c r="AZ416" s="31">
        <f>AU416*AX416</f>
        <v>327.6760074089857</v>
      </c>
      <c r="BA416" s="31">
        <f>AY416+AZ416*E416/F416</f>
        <v>363.0272959104418</v>
      </c>
      <c r="BB416" s="31">
        <f>193.897+1.6984*AW416-0.0066353*AW416^2+0.0000121825*AW416^3</f>
        <v>309.56649999999996</v>
      </c>
      <c r="BC416" s="31">
        <f>7.058+0.37694*BA416^1.2-0.000087402*BA416^2.4+5.2177*10^12*BA416^-4*AW416^-2</f>
        <v>330.1996240953801</v>
      </c>
      <c r="BD416" s="31">
        <f>BC416+273</f>
        <v>603.1996240953802</v>
      </c>
      <c r="BF416" s="31">
        <f t="shared" si="44"/>
        <v>1.340408163265306</v>
      </c>
      <c r="BG416" s="31">
        <f t="shared" si="44"/>
        <v>0.02</v>
      </c>
      <c r="BH416" s="31">
        <f>P416</f>
        <v>15.850995918367346</v>
      </c>
      <c r="BI416" s="31">
        <f>X416</f>
        <v>245.62711554303772</v>
      </c>
      <c r="BJ416" s="31">
        <f>BI416-AU416/BH416</f>
        <v>224.83006703626415</v>
      </c>
      <c r="BK416" s="31">
        <f>CC416</f>
        <v>648.6826341137916</v>
      </c>
      <c r="BM416" s="31">
        <f>7*(BP416*BO416)^-(2/3)</f>
        <v>0.01119749199752305</v>
      </c>
      <c r="BN416" s="31">
        <f>BM416*BU416</f>
        <v>0</v>
      </c>
      <c r="BO416" s="31">
        <f>Z416</f>
        <v>976.890612532853</v>
      </c>
      <c r="BP416" s="31">
        <f aca="true" t="shared" si="48" ref="BP416:BU419">BP415</f>
        <v>16</v>
      </c>
      <c r="BQ416" s="31">
        <f t="shared" si="48"/>
        <v>0.7134660084964726</v>
      </c>
      <c r="BR416" s="31">
        <f t="shared" si="48"/>
        <v>0.16884818671021506</v>
      </c>
      <c r="BS416" s="31">
        <f t="shared" si="48"/>
        <v>0.07136460105255732</v>
      </c>
      <c r="BT416" s="31">
        <f t="shared" si="48"/>
        <v>0.04803538174643761</v>
      </c>
      <c r="BU416" s="31">
        <f t="shared" si="48"/>
        <v>0</v>
      </c>
      <c r="BV416" s="31">
        <f>BJ416</f>
        <v>224.83006703626415</v>
      </c>
      <c r="BW416" s="31">
        <f>(0.309701-0.00000555238*(CC416+100)^1.1+0.0000000160444*(CC416+100)^2.2-0.00000000000568436*(CC416+100)^3.3+0.000000000000000856875*(CC416+100)^4.4-0.0000000000000000000482474*(CC416+100)^5.5)*CC416</f>
        <v>208.58384013927127</v>
      </c>
      <c r="BX416" s="31">
        <f>(0.356179-0.0000326182*(CC416+100)^0.8+0.00000129519*(CC416+100)^1.6-0.00000000148934*(CC416+100)^2.4-0.000000000000594678*(CC416+100)^3.2+0.00000000000000129158*(CC416+100)^4)*CC416</f>
        <v>252.2027343791103</v>
      </c>
      <c r="BY416" s="31">
        <f>(0.34584+0.0008688*(CC416+100)^0.82-0.00000109945*(CC416+100)^1.64+0.00000000054341*(CC416+100)^2.46)*CC416</f>
        <v>319.78329496839996</v>
      </c>
      <c r="BZ416" s="31">
        <f>(0.317715-0.000574557*(CC416+100)^0.7+0.0000164618*(CC416+100)^1.4-0.000000119525*(CC416+100)^2.1+0.000000000385185*(CC416+100)^2.8-0.000000000000467365*(CC416+100)^3.5)*CC416</f>
        <v>220.824840723905</v>
      </c>
      <c r="CA416" s="31">
        <f>0.10364*CC416^1.12+0.26993*IF(CC416&lt;=1300,0,(CC416-1300)^0.9)</f>
        <v>146.2189121517155</v>
      </c>
      <c r="CB416" s="31">
        <f>BQ416*BW416+BR416*BX416+BS416*BY416+BT416*BZ416+0.001*BU416*CA416</f>
        <v>224.83006703626415</v>
      </c>
      <c r="CC416" s="31">
        <f>CC416+2.5*(BV416-CB416)</f>
        <v>648.6826341137916</v>
      </c>
    </row>
    <row r="417" spans="4:81" ht="15.75">
      <c r="D417" s="4">
        <v>3</v>
      </c>
      <c r="E417" s="31">
        <f t="shared" si="46"/>
        <v>16000</v>
      </c>
      <c r="F417" s="31">
        <f t="shared" si="46"/>
        <v>172112.42951668185</v>
      </c>
      <c r="G417" s="31">
        <f t="shared" si="46"/>
        <v>190.4</v>
      </c>
      <c r="H417" s="31">
        <f t="shared" si="46"/>
        <v>19.664</v>
      </c>
      <c r="I417" s="31">
        <f t="shared" si="46"/>
        <v>0.6</v>
      </c>
      <c r="J417" s="31">
        <f t="shared" si="46"/>
        <v>0.236</v>
      </c>
      <c r="K417" s="31">
        <f t="shared" si="46"/>
        <v>19.8</v>
      </c>
      <c r="L417" s="31">
        <f t="shared" si="46"/>
        <v>0.005</v>
      </c>
      <c r="M417" s="31">
        <f t="shared" si="46"/>
        <v>1</v>
      </c>
      <c r="N417" s="31">
        <f t="shared" si="46"/>
        <v>0.16884818671021506</v>
      </c>
      <c r="O417" s="31">
        <f t="shared" si="46"/>
        <v>0.24021278776277238</v>
      </c>
      <c r="P417" s="31">
        <f t="shared" si="46"/>
        <v>15.850995918367346</v>
      </c>
      <c r="Q417" s="31">
        <f t="shared" si="46"/>
        <v>100000</v>
      </c>
      <c r="S417" s="31">
        <f t="shared" si="47"/>
        <v>100</v>
      </c>
      <c r="T417" s="31">
        <f t="shared" si="47"/>
        <v>0.994</v>
      </c>
      <c r="U417" s="31">
        <f t="shared" si="47"/>
        <v>1.340408163265306</v>
      </c>
      <c r="V417" s="31">
        <f t="shared" si="47"/>
        <v>0.02</v>
      </c>
      <c r="X417" s="31">
        <f>AC416</f>
        <v>224.83006703626415</v>
      </c>
      <c r="Y417" s="31">
        <f>AD418</f>
        <v>305.66737043813185</v>
      </c>
      <c r="Z417" s="31">
        <f>AE416</f>
        <v>921.6826341137916</v>
      </c>
      <c r="AA417" s="31">
        <f>AF418</f>
        <v>561.4432751672082</v>
      </c>
      <c r="AC417" s="31">
        <f>BJ417</f>
        <v>206.46574412201772</v>
      </c>
      <c r="AD417" s="31">
        <f>BA417</f>
        <v>332.5657183633326</v>
      </c>
      <c r="AE417" s="31">
        <f>BK417+273</f>
        <v>872.3483652677005</v>
      </c>
      <c r="AF417" s="31">
        <f>BD417</f>
        <v>581.8952053657533</v>
      </c>
      <c r="AH417" s="31">
        <f>Z417-AA417</f>
        <v>360.23935894658337</v>
      </c>
      <c r="AI417" s="31">
        <f>AA417+(L417+1/AN417)*AU417*E417/G417</f>
        <v>683.9957933068782</v>
      </c>
      <c r="AJ417" s="31">
        <f>Z417-273</f>
        <v>648.6826341137916</v>
      </c>
      <c r="AK417" s="31">
        <f>E417*P417/(3600*K417)*(AJ417+273)/273</f>
        <v>12.012339653242044</v>
      </c>
      <c r="AL417" s="31">
        <f>1.723-0.00072545*AJ417-2.1255*N417^0.1+0.00081189*AJ417*N417^0.1+0.00000015846*AJ417^2+1.5631*N417^0.2-0.00000016954*AJ417^2*N417^0.2+257255*AJ417^-0.8*N417^10</f>
        <v>1.0260110085103802</v>
      </c>
      <c r="AM417" s="31">
        <f>H417*AL417*AK417^I417</f>
        <v>89.6603537864053</v>
      </c>
      <c r="AN417" s="31">
        <f>Q417</f>
        <v>100000</v>
      </c>
      <c r="AO417" s="31">
        <f>((0.78+1.6*N417)/(M417*O417*J417)^0.5-0.1)*(1-0.37*Z417/1000)</f>
        <v>2.840605062484721</v>
      </c>
      <c r="AP417" s="31">
        <f>AO417*O417+BN417</f>
        <v>0.682349660992499</v>
      </c>
      <c r="AQ417" s="31">
        <f>1-EXP(-AP417*M417*J417)</f>
        <v>0.14873731498302456</v>
      </c>
      <c r="AR417" s="31">
        <f>0.000000049*(0.82+1)/2*AQ417*Z417^3*(1-(AI417/Z417)^$L$10)/(1-AI417/Z417)</f>
        <v>13.254811327306419</v>
      </c>
      <c r="AS417" s="31">
        <f>AM417+AR417</f>
        <v>102.91516511371171</v>
      </c>
      <c r="AT417" s="31">
        <f>1/(1/AS417+L417+1/AN417)</f>
        <v>67.90368642263542</v>
      </c>
      <c r="AU417" s="31">
        <f>AT417*G417*AH417/E417</f>
        <v>291.0928075573</v>
      </c>
      <c r="AW417" s="31">
        <f t="shared" si="43"/>
        <v>100</v>
      </c>
      <c r="AX417" s="31">
        <f t="shared" si="43"/>
        <v>0.994</v>
      </c>
      <c r="AY417" s="31">
        <f>Y417</f>
        <v>305.66737043813185</v>
      </c>
      <c r="AZ417" s="31">
        <f>AU417*AX417</f>
        <v>289.3462507119562</v>
      </c>
      <c r="BA417" s="31">
        <f>AY417+AZ417*E417/F417</f>
        <v>332.5657183633326</v>
      </c>
      <c r="BB417" s="31">
        <f>193.897+1.6984*AW417-0.0066353*AW417^2+0.0000121825*AW417^3</f>
        <v>309.56649999999996</v>
      </c>
      <c r="BC417" s="31">
        <f>7.058+0.37694*BA417^1.2-0.000087402*BA417^2.4+5.2177*10^12*BA417^-4*AW417^-2</f>
        <v>308.89520536575327</v>
      </c>
      <c r="BD417" s="31">
        <f>BC417+273</f>
        <v>581.8952053657533</v>
      </c>
      <c r="BF417" s="31">
        <f t="shared" si="44"/>
        <v>1.340408163265306</v>
      </c>
      <c r="BG417" s="31">
        <f t="shared" si="44"/>
        <v>0.02</v>
      </c>
      <c r="BH417" s="31">
        <f>P417</f>
        <v>15.850995918367346</v>
      </c>
      <c r="BI417" s="31">
        <f>X417</f>
        <v>224.83006703626415</v>
      </c>
      <c r="BJ417" s="31">
        <f>BI417-AU417/BH417</f>
        <v>206.46574412201772</v>
      </c>
      <c r="BK417" s="31">
        <f>CC417</f>
        <v>599.3483652677005</v>
      </c>
      <c r="BM417" s="31">
        <f>7*(BP417*BO417)^-(2/3)</f>
        <v>0.011640289503494664</v>
      </c>
      <c r="BN417" s="31">
        <f>BM417*BU417</f>
        <v>0</v>
      </c>
      <c r="BO417" s="31">
        <f>Z417</f>
        <v>921.6826341137916</v>
      </c>
      <c r="BP417" s="31">
        <f t="shared" si="48"/>
        <v>16</v>
      </c>
      <c r="BQ417" s="31">
        <f t="shared" si="48"/>
        <v>0.7134660084964726</v>
      </c>
      <c r="BR417" s="31">
        <f t="shared" si="48"/>
        <v>0.16884818671021506</v>
      </c>
      <c r="BS417" s="31">
        <f t="shared" si="48"/>
        <v>0.07136460105255732</v>
      </c>
      <c r="BT417" s="31">
        <f t="shared" si="48"/>
        <v>0.04803538174643761</v>
      </c>
      <c r="BU417" s="31">
        <f t="shared" si="48"/>
        <v>0</v>
      </c>
      <c r="BV417" s="31">
        <f>BJ417</f>
        <v>206.46574412201772</v>
      </c>
      <c r="BW417" s="31">
        <f>(0.309701-0.00000555238*(CC417+100)^1.1+0.0000000160444*(CC417+100)^2.2-0.00000000000568436*(CC417+100)^3.3+0.000000000000000856875*(CC417+100)^4.4-0.0000000000000000000482474*(CC417+100)^5.5)*CC417</f>
        <v>191.81442552965842</v>
      </c>
      <c r="BX417" s="31">
        <f>(0.356179-0.0000326182*(CC417+100)^0.8+0.00000129519*(CC417+100)^1.6-0.00000000148934*(CC417+100)^2.4-0.000000000000594678*(CC417+100)^3.2+0.00000000000000129158*(CC417+100)^4)*CC417</f>
        <v>231.1617213720701</v>
      </c>
      <c r="BY417" s="31">
        <f>(0.34584+0.0008688*(CC417+100)^0.82-0.00000109945*(CC417+100)^1.64+0.00000000054341*(CC417+100)^2.46)*CC417</f>
        <v>292.0382495585088</v>
      </c>
      <c r="BZ417" s="31">
        <f>(0.317715-0.000574557*(CC417+100)^0.7+0.0000164618*(CC417+100)^1.4-0.000000119525*(CC417+100)^2.1+0.000000000385185*(CC417+100)^2.8-0.000000000000467365*(CC417+100)^3.5)*CC417</f>
        <v>202.77221812096116</v>
      </c>
      <c r="CA417" s="31">
        <f>0.10364*CC417^1.12+0.26993*IF(CC417&lt;=1300,0,(CC417-1300)^0.9)</f>
        <v>133.82222562639998</v>
      </c>
      <c r="CB417" s="31">
        <f>BQ417*BW417+BR417*BX417+BS417*BY417+BT417*BZ417+0.001*BU417*CA417</f>
        <v>206.46574412201772</v>
      </c>
      <c r="CC417" s="31">
        <f>CC417+2.5*(BV417-CB417)</f>
        <v>599.3483652677005</v>
      </c>
    </row>
    <row r="418" spans="4:81" ht="15.75">
      <c r="D418" s="4">
        <v>4</v>
      </c>
      <c r="E418" s="31">
        <f t="shared" si="46"/>
        <v>16000</v>
      </c>
      <c r="F418" s="31">
        <f t="shared" si="46"/>
        <v>172112.42951668185</v>
      </c>
      <c r="G418" s="31">
        <f t="shared" si="46"/>
        <v>190.4</v>
      </c>
      <c r="H418" s="31">
        <f t="shared" si="46"/>
        <v>19.664</v>
      </c>
      <c r="I418" s="31">
        <f t="shared" si="46"/>
        <v>0.6</v>
      </c>
      <c r="J418" s="31">
        <f t="shared" si="46"/>
        <v>0.236</v>
      </c>
      <c r="K418" s="31">
        <f t="shared" si="46"/>
        <v>19.8</v>
      </c>
      <c r="L418" s="31">
        <f t="shared" si="46"/>
        <v>0.005</v>
      </c>
      <c r="M418" s="31">
        <f t="shared" si="46"/>
        <v>1</v>
      </c>
      <c r="N418" s="31">
        <f t="shared" si="46"/>
        <v>0.16884818671021506</v>
      </c>
      <c r="O418" s="31">
        <f t="shared" si="46"/>
        <v>0.24021278776277238</v>
      </c>
      <c r="P418" s="31">
        <f t="shared" si="46"/>
        <v>15.850995918367346</v>
      </c>
      <c r="Q418" s="31">
        <f t="shared" si="46"/>
        <v>100000</v>
      </c>
      <c r="S418" s="31">
        <f t="shared" si="47"/>
        <v>100</v>
      </c>
      <c r="T418" s="31">
        <f t="shared" si="47"/>
        <v>0.994</v>
      </c>
      <c r="U418" s="31">
        <f t="shared" si="47"/>
        <v>1.340408163265306</v>
      </c>
      <c r="V418" s="31">
        <f t="shared" si="47"/>
        <v>0.02</v>
      </c>
      <c r="X418" s="31">
        <f>AC417</f>
        <v>206.46574412201772</v>
      </c>
      <c r="Y418" s="31">
        <f>AD419</f>
        <v>281.74239818854943</v>
      </c>
      <c r="Z418" s="31">
        <f>AE417</f>
        <v>872.3483652677005</v>
      </c>
      <c r="AA418" s="31">
        <f>AF419</f>
        <v>542.0607143713287</v>
      </c>
      <c r="AC418" s="31">
        <f>BJ418</f>
        <v>190.13143551215398</v>
      </c>
      <c r="AD418" s="31">
        <f>BA418</f>
        <v>305.66737043813185</v>
      </c>
      <c r="AE418" s="31">
        <f>BK418+273</f>
        <v>827.9784396929731</v>
      </c>
      <c r="AF418" s="31">
        <f>BD418</f>
        <v>561.4432751672082</v>
      </c>
      <c r="AH418" s="31">
        <f>Z418-AA418</f>
        <v>330.2876508963718</v>
      </c>
      <c r="AI418" s="31">
        <f>AA418+(L418+1/AN418)*AU418*E418/G418</f>
        <v>651.0661300110393</v>
      </c>
      <c r="AJ418" s="31">
        <f>Z418-273</f>
        <v>599.3483652677005</v>
      </c>
      <c r="AK418" s="31">
        <f>E418*P418/(3600*K418)*(AJ418+273)/273</f>
        <v>11.369363457326827</v>
      </c>
      <c r="AL418" s="31">
        <f>1.723-0.00072545*AJ418-2.1255*N418^0.1+0.00081189*AJ418*N418^0.1+0.00000015846*AJ418^2+1.5631*N418^0.2-0.00000016954*AJ418^2*N418^0.2+257255*AJ418^-0.8*N418^10</f>
        <v>1.0258326195522693</v>
      </c>
      <c r="AM418" s="31">
        <f>H418*AL418*AK418^I418</f>
        <v>86.73413675574457</v>
      </c>
      <c r="AN418" s="31">
        <f>Q418</f>
        <v>100000</v>
      </c>
      <c r="AO418" s="31">
        <f>((0.78+1.6*N418)/(M418*O418*J418)^0.5-0.1)*(1-0.37*Z418/1000)</f>
        <v>2.9192898433638157</v>
      </c>
      <c r="AP418" s="31">
        <f>AO418*O418+BN418</f>
        <v>0.7012507515619693</v>
      </c>
      <c r="AQ418" s="31">
        <f>1-EXP(-AP418*M418*J418)</f>
        <v>0.15252604975047032</v>
      </c>
      <c r="AR418" s="31">
        <f>0.000000049*(0.82+1)/2*AQ418*Z418^3*(1-(AI418/Z418)^$L$10)/(1-AI418/Z418)</f>
        <v>11.59082804191299</v>
      </c>
      <c r="AS418" s="31">
        <f>AM418+AR418</f>
        <v>98.32496479765756</v>
      </c>
      <c r="AT418" s="31">
        <f>1/(1/AS418+L418+1/AN418)</f>
        <v>65.87460334320723</v>
      </c>
      <c r="AU418" s="31">
        <f>AT418*G418*AH418/E418</f>
        <v>258.91505910430254</v>
      </c>
      <c r="AW418" s="31">
        <f t="shared" si="43"/>
        <v>100</v>
      </c>
      <c r="AX418" s="31">
        <f t="shared" si="43"/>
        <v>0.994</v>
      </c>
      <c r="AY418" s="31">
        <f>Y418</f>
        <v>281.74239818854943</v>
      </c>
      <c r="AZ418" s="31">
        <f>AU418*AX418</f>
        <v>257.36156874967674</v>
      </c>
      <c r="BA418" s="31">
        <f>AY418+AZ418*E418/F418</f>
        <v>305.66737043813185</v>
      </c>
      <c r="BB418" s="31">
        <f>193.897+1.6984*AW418-0.0066353*AW418^2+0.0000121825*AW418^3</f>
        <v>309.56649999999996</v>
      </c>
      <c r="BC418" s="31">
        <f>7.058+0.37694*BA418^1.2-0.000087402*BA418^2.4+5.2177*10^12*BA418^-4*AW418^-2</f>
        <v>288.4432751672081</v>
      </c>
      <c r="BD418" s="31">
        <f>BC418+273</f>
        <v>561.4432751672082</v>
      </c>
      <c r="BF418" s="31">
        <f t="shared" si="44"/>
        <v>1.340408163265306</v>
      </c>
      <c r="BG418" s="31">
        <f t="shared" si="44"/>
        <v>0.02</v>
      </c>
      <c r="BH418" s="31">
        <f>P418</f>
        <v>15.850995918367346</v>
      </c>
      <c r="BI418" s="31">
        <f>X418</f>
        <v>206.46574412201772</v>
      </c>
      <c r="BJ418" s="31">
        <f>BI418-AU418/BH418</f>
        <v>190.13143551215398</v>
      </c>
      <c r="BK418" s="31">
        <f>CC418</f>
        <v>554.9784396929731</v>
      </c>
      <c r="BM418" s="31">
        <f>7*(BP418*BO418)^-(2/3)</f>
        <v>0.0120751189387331</v>
      </c>
      <c r="BN418" s="31">
        <f>BM418*BU418</f>
        <v>0</v>
      </c>
      <c r="BO418" s="31">
        <f>Z418</f>
        <v>872.3483652677005</v>
      </c>
      <c r="BP418" s="31">
        <f t="shared" si="48"/>
        <v>16</v>
      </c>
      <c r="BQ418" s="31">
        <f t="shared" si="48"/>
        <v>0.7134660084964726</v>
      </c>
      <c r="BR418" s="31">
        <f t="shared" si="48"/>
        <v>0.16884818671021506</v>
      </c>
      <c r="BS418" s="31">
        <f t="shared" si="48"/>
        <v>0.07136460105255732</v>
      </c>
      <c r="BT418" s="31">
        <f t="shared" si="48"/>
        <v>0.04803538174643761</v>
      </c>
      <c r="BU418" s="31">
        <f t="shared" si="48"/>
        <v>0</v>
      </c>
      <c r="BV418" s="31">
        <f>BJ418</f>
        <v>190.13143551215398</v>
      </c>
      <c r="BW418" s="31">
        <f>(0.309701-0.00000555238*(CC418+100)^1.1+0.0000000160444*(CC418+100)^2.2-0.00000000000568436*(CC418+100)^3.3+0.000000000000000856875*(CC418+100)^4.4-0.0000000000000000000482474*(CC418+100)^5.5)*CC418</f>
        <v>176.87736977095963</v>
      </c>
      <c r="BX418" s="31">
        <f>(0.356179-0.0000326182*(CC418+100)^0.8+0.00000129519*(CC418+100)^1.6-0.00000000148934*(CC418+100)^2.4-0.000000000000594678*(CC418+100)^3.2+0.00000000000000129158*(CC418+100)^4)*CC418</f>
        <v>212.5230998611615</v>
      </c>
      <c r="BY418" s="31">
        <f>(0.34584+0.0008688*(CC418+100)^0.82-0.00000109945*(CC418+100)^1.64+0.00000000054341*(CC418+100)^2.46)*CC418</f>
        <v>267.42167880147207</v>
      </c>
      <c r="BZ418" s="31">
        <f>(0.317715-0.000574557*(CC418+100)^0.7+0.0000164618*(CC418+100)^1.4-0.000000119525*(CC418+100)^2.1+0.000000000385185*(CC418+100)^2.8-0.000000000000467365*(CC418+100)^3.5)*CC418</f>
        <v>186.67204706694167</v>
      </c>
      <c r="CA418" s="31">
        <f>0.10364*CC418^1.12+0.26993*IF(CC418&lt;=1300,0,(CC418-1300)^0.9)</f>
        <v>122.77689593679497</v>
      </c>
      <c r="CB418" s="31">
        <f>BQ418*BW418+BR418*BX418+BS418*BY418+BT418*BZ418+0.001*BU418*CA418</f>
        <v>190.13143551215398</v>
      </c>
      <c r="CC418" s="31">
        <f>CC418+2.5*(BV418-CB418)</f>
        <v>554.9784396929731</v>
      </c>
    </row>
    <row r="419" spans="4:81" ht="15.75">
      <c r="D419" s="4">
        <v>5</v>
      </c>
      <c r="E419" s="31">
        <f t="shared" si="46"/>
        <v>16000</v>
      </c>
      <c r="F419" s="31">
        <f t="shared" si="46"/>
        <v>172112.42951668185</v>
      </c>
      <c r="G419" s="31">
        <f t="shared" si="46"/>
        <v>190.4</v>
      </c>
      <c r="H419" s="31">
        <f t="shared" si="46"/>
        <v>19.664</v>
      </c>
      <c r="I419" s="31">
        <f t="shared" si="46"/>
        <v>0.6</v>
      </c>
      <c r="J419" s="31">
        <f t="shared" si="46"/>
        <v>0.236</v>
      </c>
      <c r="K419" s="31">
        <f t="shared" si="46"/>
        <v>19.8</v>
      </c>
      <c r="L419" s="31">
        <f t="shared" si="46"/>
        <v>0.005</v>
      </c>
      <c r="M419" s="31">
        <f t="shared" si="46"/>
        <v>1</v>
      </c>
      <c r="N419" s="31">
        <f t="shared" si="46"/>
        <v>0.16884818671021506</v>
      </c>
      <c r="O419" s="31">
        <f t="shared" si="46"/>
        <v>0.24021278776277238</v>
      </c>
      <c r="P419" s="31">
        <f t="shared" si="46"/>
        <v>15.850995918367346</v>
      </c>
      <c r="Q419" s="31">
        <f t="shared" si="46"/>
        <v>100000</v>
      </c>
      <c r="S419" s="31">
        <f t="shared" si="47"/>
        <v>100</v>
      </c>
      <c r="T419" s="31">
        <f t="shared" si="47"/>
        <v>0.994</v>
      </c>
      <c r="U419" s="31">
        <f t="shared" si="47"/>
        <v>1.340408163265306</v>
      </c>
      <c r="V419" s="31">
        <f t="shared" si="47"/>
        <v>0.02</v>
      </c>
      <c r="X419" s="31">
        <f>AC418</f>
        <v>190.13143551215398</v>
      </c>
      <c r="Y419" s="31">
        <f>Y412</f>
        <v>260</v>
      </c>
      <c r="Z419" s="31">
        <f>AE418</f>
        <v>827.9784396929731</v>
      </c>
      <c r="AA419" s="31">
        <f>AA412</f>
        <v>519</v>
      </c>
      <c r="AC419" s="31">
        <f>BJ419</f>
        <v>175.28723681359511</v>
      </c>
      <c r="AD419" s="31">
        <f>BA419</f>
        <v>281.74239818854943</v>
      </c>
      <c r="AE419" s="31">
        <f>BK419+273</f>
        <v>787.2366415968502</v>
      </c>
      <c r="AF419" s="31">
        <f>BD419</f>
        <v>542.0607143713287</v>
      </c>
      <c r="AH419" s="31">
        <f>Z419-AA419</f>
        <v>308.9784396929731</v>
      </c>
      <c r="AI419" s="31">
        <f>AA419+(L419+1/AN419)*AU419*E419/G419</f>
        <v>618.06131245725</v>
      </c>
      <c r="AJ419" s="31">
        <f>Z419-273</f>
        <v>554.9784396929731</v>
      </c>
      <c r="AK419" s="31">
        <f>E419*P419/(3600*K419)*(AJ419+273)/273</f>
        <v>10.791087815944945</v>
      </c>
      <c r="AL419" s="31">
        <f>1.723-0.00072545*AJ419-2.1255*N419^0.1+0.00081189*AJ419*N419^0.1+0.00000015846*AJ419^2+1.5631*N419^0.2-0.00000016954*AJ419^2*N419^0.2+257255*AJ419^-0.8*N419^10</f>
        <v>1.0258373663057172</v>
      </c>
      <c r="AM419" s="31">
        <f>H419*AL419*AK419^I419</f>
        <v>84.060025201185</v>
      </c>
      <c r="AN419" s="31">
        <f>Q419</f>
        <v>100000</v>
      </c>
      <c r="AO419" s="31">
        <f>((0.78+1.6*N419)/(M419*O419*J419)^0.5-0.1)*(1-0.37*Z419/1000)</f>
        <v>2.9900568366349805</v>
      </c>
      <c r="AP419" s="31">
        <f>AO419*O419+BN419</f>
        <v>0.7182498882972251</v>
      </c>
      <c r="AQ419" s="31">
        <f>1-EXP(-AP419*M419*J419)</f>
        <v>0.15591913185470174</v>
      </c>
      <c r="AR419" s="31">
        <f>0.000000049*(0.82+1)/2*AQ419*Z419^3*(1-(AI419/Z419)^$L$10)/(1-AI419/Z419)</f>
        <v>10.13294188878412</v>
      </c>
      <c r="AS419" s="31">
        <f>AM419+AR419</f>
        <v>94.19296708996912</v>
      </c>
      <c r="AT419" s="31">
        <f>1/(1/AS419+L419+1/AN419)</f>
        <v>63.99384072553139</v>
      </c>
      <c r="AU419" s="31">
        <f>AT419*G419*AH419/E419</f>
        <v>235.2953329822904</v>
      </c>
      <c r="AW419" s="31">
        <f t="shared" si="43"/>
        <v>100</v>
      </c>
      <c r="AX419" s="31">
        <f t="shared" si="43"/>
        <v>0.994</v>
      </c>
      <c r="AY419" s="31">
        <f>Y419</f>
        <v>260</v>
      </c>
      <c r="AZ419" s="31">
        <f>AU419*AX419</f>
        <v>233.88356098439667</v>
      </c>
      <c r="BA419" s="31">
        <f>AY419+AZ419*E419/F419</f>
        <v>281.74239818854943</v>
      </c>
      <c r="BB419" s="31">
        <f>193.897+1.6984*AW419-0.0066353*AW419^2+0.0000121825*AW419^3</f>
        <v>309.56649999999996</v>
      </c>
      <c r="BC419" s="31">
        <f>7.058+0.37694*BA419^1.2-0.000087402*BA419^2.4+5.2177*10^12*BA419^-4*AW419^-2</f>
        <v>269.0607143713287</v>
      </c>
      <c r="BD419" s="31">
        <f>BC419+273</f>
        <v>542.0607143713287</v>
      </c>
      <c r="BF419" s="31">
        <f t="shared" si="44"/>
        <v>1.340408163265306</v>
      </c>
      <c r="BG419" s="31">
        <f t="shared" si="44"/>
        <v>0.02</v>
      </c>
      <c r="BH419" s="31">
        <f>P419</f>
        <v>15.850995918367346</v>
      </c>
      <c r="BI419" s="31">
        <f>X419</f>
        <v>190.13143551215398</v>
      </c>
      <c r="BJ419" s="31">
        <f>BI419-AU419/BH419</f>
        <v>175.28723681359511</v>
      </c>
      <c r="BK419" s="31">
        <f>CC419</f>
        <v>514.2366415968502</v>
      </c>
      <c r="BM419" s="31">
        <f>7*(BP419*BO419)^-(2/3)</f>
        <v>0.012502744787359545</v>
      </c>
      <c r="BN419" s="31">
        <f>BM419*BU419</f>
        <v>0</v>
      </c>
      <c r="BO419" s="31">
        <f>Z419</f>
        <v>827.9784396929731</v>
      </c>
      <c r="BP419" s="31">
        <f t="shared" si="48"/>
        <v>16</v>
      </c>
      <c r="BQ419" s="31">
        <f t="shared" si="48"/>
        <v>0.7134660084964726</v>
      </c>
      <c r="BR419" s="31">
        <f t="shared" si="48"/>
        <v>0.16884818671021506</v>
      </c>
      <c r="BS419" s="31">
        <f t="shared" si="48"/>
        <v>0.07136460105255732</v>
      </c>
      <c r="BT419" s="31">
        <f t="shared" si="48"/>
        <v>0.04803538174643761</v>
      </c>
      <c r="BU419" s="31">
        <f t="shared" si="48"/>
        <v>0</v>
      </c>
      <c r="BV419" s="31">
        <f>BJ419</f>
        <v>175.28723681359511</v>
      </c>
      <c r="BW419" s="31">
        <f>(0.309701-0.00000555238*(CC419+100)^1.1+0.0000000160444*(CC419+100)^2.2-0.00000000000568436*(CC419+100)^3.3+0.000000000000000856875*(CC419+100)^4.4-0.0000000000000000000482474*(CC419+100)^5.5)*CC419</f>
        <v>163.28362712017832</v>
      </c>
      <c r="BX419" s="31">
        <f>(0.356179-0.0000326182*(CC419+100)^0.8+0.00000129519*(CC419+100)^1.6-0.00000000148934*(CC419+100)^2.4-0.000000000000594678*(CC419+100)^3.2+0.00000000000000129158*(CC419+100)^4)*CC419</f>
        <v>195.64539235839968</v>
      </c>
      <c r="BY419" s="31">
        <f>(0.34584+0.0008688*(CC419+100)^0.82-0.00000109945*(CC419+100)^1.64+0.00000000054341*(CC419+100)^2.46)*CC419</f>
        <v>245.12054401446014</v>
      </c>
      <c r="BZ419" s="31">
        <f>(0.317715-0.000574557*(CC419+100)^0.7+0.0000164618*(CC419+100)^1.4-0.000000119525*(CC419+100)^2.1+0.000000000385185*(CC419+100)^2.8-0.000000000000467365*(CC419+100)^3.5)*CC419</f>
        <v>172.01111446659323</v>
      </c>
      <c r="CA419" s="31">
        <f>0.10364*CC419^1.12+0.26993*IF(CC419&lt;=1300,0,(CC419-1300)^0.9)</f>
        <v>112.72752848729058</v>
      </c>
      <c r="CB419" s="31">
        <f>BQ419*BW419+BR419*BX419+BS419*BY419+BT419*BZ419+0.001*BU419*CA419</f>
        <v>175.28723681359511</v>
      </c>
      <c r="CC419" s="31">
        <f>CC419+2.5*(BV419-CB419)</f>
        <v>514.2366415968502</v>
      </c>
    </row>
    <row r="420" spans="4:10" ht="15">
      <c r="D420" s="2" t="s">
        <v>1089</v>
      </c>
      <c r="E420" s="24" t="s">
        <v>1090</v>
      </c>
      <c r="F420" s="24"/>
      <c r="G420" s="24"/>
      <c r="H420" s="24"/>
      <c r="I420" s="24"/>
      <c r="J420" s="24"/>
    </row>
    <row r="422" spans="5:9" ht="15">
      <c r="E422" s="24" t="s">
        <v>1091</v>
      </c>
      <c r="F422" s="24"/>
      <c r="G422" s="24"/>
      <c r="H422" s="24"/>
      <c r="I422" s="24"/>
    </row>
    <row r="423" spans="5:6" ht="15">
      <c r="E423" s="2" t="s">
        <v>1092</v>
      </c>
      <c r="F423" s="1" t="s">
        <v>1086</v>
      </c>
    </row>
    <row r="424" ht="15">
      <c r="E424" s="1" t="s">
        <v>1093</v>
      </c>
    </row>
    <row r="425" spans="4:10" ht="15.75">
      <c r="D425" s="1" t="s">
        <v>1094</v>
      </c>
      <c r="E425" s="3" t="s">
        <v>1095</v>
      </c>
      <c r="F425" s="7" t="s">
        <v>1072</v>
      </c>
      <c r="G425" s="3" t="s">
        <v>1030</v>
      </c>
      <c r="H425" s="25" t="s">
        <v>109</v>
      </c>
      <c r="I425" s="7" t="s">
        <v>1036</v>
      </c>
      <c r="J425" s="7" t="s">
        <v>1037</v>
      </c>
    </row>
    <row r="426" spans="5:10" ht="15.75">
      <c r="E426" s="4">
        <v>13.934693431308382</v>
      </c>
      <c r="F426" s="31">
        <f>D432</f>
        <v>0.48520408163265305</v>
      </c>
      <c r="G426" s="31">
        <f>E426-F426</f>
        <v>13.44948934967573</v>
      </c>
      <c r="H426" s="25">
        <v>1</v>
      </c>
      <c r="I426" s="4">
        <v>56</v>
      </c>
      <c r="J426" s="4">
        <v>180</v>
      </c>
    </row>
    <row r="428" ht="15">
      <c r="D428" s="1" t="s">
        <v>941</v>
      </c>
    </row>
    <row r="429" spans="4:13" ht="15.75">
      <c r="D429" s="7" t="s">
        <v>1066</v>
      </c>
      <c r="E429" s="7" t="s">
        <v>1067</v>
      </c>
      <c r="F429" s="7" t="s">
        <v>1010</v>
      </c>
      <c r="G429" s="7" t="s">
        <v>1118</v>
      </c>
      <c r="H429" s="7" t="s">
        <v>1069</v>
      </c>
      <c r="I429" s="7" t="s">
        <v>1070</v>
      </c>
      <c r="J429" s="7" t="s">
        <v>1071</v>
      </c>
      <c r="K429" s="7" t="s">
        <v>1036</v>
      </c>
      <c r="L429" s="1" t="s">
        <v>695</v>
      </c>
      <c r="M429" s="3" t="s">
        <v>1119</v>
      </c>
    </row>
    <row r="430" spans="3:13" ht="15.75">
      <c r="C430" s="1" t="s">
        <v>1096</v>
      </c>
      <c r="D430" s="4">
        <v>0.05</v>
      </c>
      <c r="E430" s="4">
        <v>15.850995918367346</v>
      </c>
      <c r="F430" s="4">
        <v>244.79723670902135</v>
      </c>
      <c r="G430" s="4">
        <v>0.07136460105255732</v>
      </c>
      <c r="H430" s="4">
        <v>0.7134660084964726</v>
      </c>
      <c r="I430" s="4">
        <v>0.16884818671021506</v>
      </c>
      <c r="J430" s="4">
        <v>0.04803538174643761</v>
      </c>
      <c r="K430" s="31">
        <f>(I426+AD441)/2</f>
        <v>119.68155810071525</v>
      </c>
      <c r="L430" s="4">
        <v>0.02</v>
      </c>
      <c r="M430" s="4">
        <v>0</v>
      </c>
    </row>
    <row r="431" spans="4:27" ht="15.75">
      <c r="D431" s="7" t="s">
        <v>1072</v>
      </c>
      <c r="E431" s="7" t="s">
        <v>699</v>
      </c>
      <c r="F431" s="7" t="s">
        <v>1011</v>
      </c>
      <c r="G431" s="7" t="s">
        <v>1540</v>
      </c>
      <c r="H431" s="7" t="s">
        <v>644</v>
      </c>
      <c r="I431" s="7" t="s">
        <v>102</v>
      </c>
      <c r="J431" s="7" t="s">
        <v>646</v>
      </c>
      <c r="K431" s="3" t="s">
        <v>706</v>
      </c>
      <c r="L431" s="7" t="s">
        <v>1012</v>
      </c>
      <c r="M431" s="3" t="s">
        <v>1597</v>
      </c>
      <c r="O431" s="1" t="s">
        <v>644</v>
      </c>
      <c r="P431" s="1" t="s">
        <v>102</v>
      </c>
      <c r="Q431" s="1" t="s">
        <v>1540</v>
      </c>
      <c r="R431" s="1" t="s">
        <v>646</v>
      </c>
      <c r="S431" s="3" t="s">
        <v>1597</v>
      </c>
      <c r="T431" s="3" t="s">
        <v>369</v>
      </c>
      <c r="U431" s="1" t="s">
        <v>88</v>
      </c>
      <c r="V431" s="1" t="s">
        <v>306</v>
      </c>
      <c r="W431" s="1" t="s">
        <v>1508</v>
      </c>
      <c r="X431" s="1" t="s">
        <v>387</v>
      </c>
      <c r="Y431" s="3" t="s">
        <v>397</v>
      </c>
      <c r="Z431" s="3" t="s">
        <v>404</v>
      </c>
      <c r="AA431" s="3" t="s">
        <v>544</v>
      </c>
    </row>
    <row r="432" spans="4:27" ht="15.75">
      <c r="D432" s="31">
        <f>D430*$D$10/(1-L430)</f>
        <v>0.48520408163265305</v>
      </c>
      <c r="E432" s="31">
        <f>E430+D432</f>
        <v>16.336199999999998</v>
      </c>
      <c r="F432" s="31">
        <f>(F430*E430+K430*D432)/E432</f>
        <v>241.08115598419005</v>
      </c>
      <c r="G432" s="31">
        <f>G430*E430/E432</f>
        <v>0.06924498965487691</v>
      </c>
      <c r="H432" s="31">
        <f>(H430*E430+0.79*D432)/E432</f>
        <v>0.7157391567843946</v>
      </c>
      <c r="I432" s="31">
        <f>(I430*E430+L430*D432)/E432</f>
        <v>0.16442722297719176</v>
      </c>
      <c r="J432" s="31">
        <f>(J430*E430+0.21*D432)/E432</f>
        <v>0.052845918704647166</v>
      </c>
      <c r="K432" s="31">
        <f>1+J432*$E$10/(G432*0.21*$D$10)</f>
        <v>1.3859620991253643</v>
      </c>
      <c r="L432" s="31">
        <f>AA432</f>
        <v>692.6245714587776</v>
      </c>
      <c r="M432" s="31">
        <f>M430*E430/E432</f>
        <v>0</v>
      </c>
      <c r="O432" s="31">
        <f>H432</f>
        <v>0.7157391567843946</v>
      </c>
      <c r="P432" s="31">
        <f>I432</f>
        <v>0.16442722297719176</v>
      </c>
      <c r="Q432" s="31">
        <f>G432</f>
        <v>0.06924498965487691</v>
      </c>
      <c r="R432" s="31">
        <f>J432</f>
        <v>0.052845918704647166</v>
      </c>
      <c r="S432" s="31">
        <f>M432</f>
        <v>0</v>
      </c>
      <c r="T432" s="31">
        <f>F432</f>
        <v>241.08115598419005</v>
      </c>
      <c r="U432" s="31">
        <f>(0.309701-0.00000555238*(AA432+100)^1.1+0.0000000160444*(AA432+100)^2.2-0.00000000000568436*(AA432+100)^3.3+0.000000000000000856875*(AA432+100)^4.4-0.0000000000000000000482474*(AA432+100)^5.5)*AA432</f>
        <v>223.66047175912956</v>
      </c>
      <c r="V432" s="31">
        <f>(0.356179-0.0000326182*(AA432+100)^0.8+0.00000129519*(AA432+100)^1.6-0.00000000148934*(AA432+100)^2.4-0.000000000000594678*(AA432+100)^3.2+0.00000000000000129158*(AA432+100)^4)*AA432</f>
        <v>271.2250464200603</v>
      </c>
      <c r="W432" s="31">
        <f>(0.34584+0.0008688*(AA432+100)^0.82-0.00000109945*(AA432+100)^1.64+0.00000000054341*(AA432+100)^2.46)*AA432</f>
        <v>344.80306332893247</v>
      </c>
      <c r="X432" s="31">
        <f>(0.317715-0.000574557*(AA432+100)^0.7+0.0000164618*(AA432+100)^1.4-0.000000119525*(AA432+100)^2.1+0.000000000385185*(AA432+100)^2.8-0.000000000000467365*(AA432+100)^3.5)*AA432</f>
        <v>237.02743921295482</v>
      </c>
      <c r="Y432" s="31">
        <f>0.10364*AA432^1.12+0.26993*IF(AA432&lt;=1300,0,(AA432-1300)^0.9)</f>
        <v>157.35663003225102</v>
      </c>
      <c r="Z432" s="31">
        <f>O432*U432+P432*V432+Q432*W432+R432*X432+0.001*S432*Y432</f>
        <v>241.08115598419005</v>
      </c>
      <c r="AA432" s="31">
        <f>AA432+2.5*(T432-Z432)</f>
        <v>692.6245714587776</v>
      </c>
    </row>
    <row r="433" spans="7:10" ht="15">
      <c r="G433" s="25" t="s">
        <v>835</v>
      </c>
      <c r="H433" s="26">
        <v>16000</v>
      </c>
      <c r="I433" s="25" t="s">
        <v>1048</v>
      </c>
      <c r="J433" s="26">
        <v>1</v>
      </c>
    </row>
    <row r="435" spans="6:7" ht="15">
      <c r="F435" s="1" t="s">
        <v>1040</v>
      </c>
      <c r="G435" s="1" t="s">
        <v>1057</v>
      </c>
    </row>
    <row r="436" spans="5:73" ht="15.75">
      <c r="E436" s="1" t="s">
        <v>1058</v>
      </c>
      <c r="F436" s="1" t="s">
        <v>1043</v>
      </c>
      <c r="R436" s="1" t="s">
        <v>1059</v>
      </c>
      <c r="S436" s="12" t="s">
        <v>1045</v>
      </c>
      <c r="T436" s="13"/>
      <c r="U436" s="13"/>
      <c r="V436" s="13"/>
      <c r="W436" s="1" t="s">
        <v>1060</v>
      </c>
      <c r="X436" s="12" t="s">
        <v>1047</v>
      </c>
      <c r="Y436" s="13"/>
      <c r="Z436" s="13"/>
      <c r="AA436" s="13"/>
      <c r="BO436" s="1" t="s">
        <v>1116</v>
      </c>
      <c r="BP436" s="14" t="s">
        <v>1110</v>
      </c>
      <c r="BQ436" s="15"/>
      <c r="BR436" s="15"/>
      <c r="BS436" s="15"/>
      <c r="BT436" s="15"/>
      <c r="BU436" s="15"/>
    </row>
    <row r="437" spans="5:73" ht="15.75">
      <c r="E437" s="24" t="s">
        <v>835</v>
      </c>
      <c r="F437" s="24" t="s">
        <v>1030</v>
      </c>
      <c r="G437" s="24" t="s">
        <v>997</v>
      </c>
      <c r="H437" s="24" t="s">
        <v>1020</v>
      </c>
      <c r="I437" s="24" t="s">
        <v>1021</v>
      </c>
      <c r="J437" s="24" t="s">
        <v>1019</v>
      </c>
      <c r="K437" s="24" t="s">
        <v>1027</v>
      </c>
      <c r="L437" s="24" t="s">
        <v>1028</v>
      </c>
      <c r="M437" s="24" t="s">
        <v>1025</v>
      </c>
      <c r="N437" s="24" t="s">
        <v>1026</v>
      </c>
      <c r="O437" s="24" t="s">
        <v>102</v>
      </c>
      <c r="P437" s="24" t="s">
        <v>699</v>
      </c>
      <c r="Q437" s="24"/>
      <c r="S437" s="24" t="s">
        <v>695</v>
      </c>
      <c r="T437" s="24" t="s">
        <v>840</v>
      </c>
      <c r="U437" s="24" t="s">
        <v>706</v>
      </c>
      <c r="V437" s="24" t="s">
        <v>695</v>
      </c>
      <c r="X437" s="24" t="s">
        <v>1011</v>
      </c>
      <c r="Y437" s="24" t="s">
        <v>1036</v>
      </c>
      <c r="Z437" s="24" t="s">
        <v>992</v>
      </c>
      <c r="AA437" s="24" t="s">
        <v>1029</v>
      </c>
      <c r="BP437" s="14" t="s">
        <v>1600</v>
      </c>
      <c r="BQ437" s="14" t="s">
        <v>644</v>
      </c>
      <c r="BR437" s="14" t="s">
        <v>102</v>
      </c>
      <c r="BS437" s="14" t="s">
        <v>1540</v>
      </c>
      <c r="BT437" s="14" t="s">
        <v>646</v>
      </c>
      <c r="BU437" s="14" t="s">
        <v>1597</v>
      </c>
    </row>
    <row r="438" spans="5:73" ht="15.75">
      <c r="E438" s="31">
        <f>H433</f>
        <v>16000</v>
      </c>
      <c r="F438" s="31">
        <f>G426</f>
        <v>13.44948934967573</v>
      </c>
      <c r="G438" s="31">
        <f>5420/5</f>
        <v>1084</v>
      </c>
      <c r="H438" s="4">
        <v>4.3685</v>
      </c>
      <c r="I438" s="4">
        <v>0.8</v>
      </c>
      <c r="J438" s="4">
        <v>11.3</v>
      </c>
      <c r="K438" s="4">
        <v>18.774</v>
      </c>
      <c r="L438" s="4">
        <v>0.6</v>
      </c>
      <c r="M438" s="4">
        <v>10.1</v>
      </c>
      <c r="N438" s="4">
        <v>0.75</v>
      </c>
      <c r="O438" s="31">
        <f>I432</f>
        <v>0.16442722297719176</v>
      </c>
      <c r="P438" s="31">
        <f>E432</f>
        <v>16.336199999999998</v>
      </c>
      <c r="T438" s="4">
        <v>0.994</v>
      </c>
      <c r="U438" s="31">
        <f>K432</f>
        <v>1.3859620991253643</v>
      </c>
      <c r="V438" s="31">
        <f>L430</f>
        <v>0.02</v>
      </c>
      <c r="X438" s="31">
        <f>F432</f>
        <v>241.08115598419005</v>
      </c>
      <c r="Y438" s="31">
        <f>I426</f>
        <v>56</v>
      </c>
      <c r="Z438" s="31">
        <f>L432+273</f>
        <v>965.6245714587776</v>
      </c>
      <c r="AA438" s="31">
        <f>J426+273</f>
        <v>453</v>
      </c>
      <c r="BQ438" s="31">
        <f>H432</f>
        <v>0.7157391567843946</v>
      </c>
      <c r="BR438" s="31">
        <f>I432</f>
        <v>0.16442722297719176</v>
      </c>
      <c r="BS438" s="31">
        <f>G432</f>
        <v>0.06924498965487691</v>
      </c>
      <c r="BT438" s="31">
        <f>J432</f>
        <v>0.052845918704647166</v>
      </c>
      <c r="BU438" s="31">
        <f>M432</f>
        <v>0</v>
      </c>
    </row>
    <row r="439" spans="28:65" ht="15.75">
      <c r="AB439" s="1" t="s">
        <v>1049</v>
      </c>
      <c r="AC439" s="12" t="s">
        <v>1050</v>
      </c>
      <c r="AD439" s="13"/>
      <c r="AE439" s="13"/>
      <c r="AF439" s="13"/>
      <c r="AI439" s="1" t="s">
        <v>987</v>
      </c>
      <c r="AW439" s="1" t="s">
        <v>1051</v>
      </c>
      <c r="BF439" s="1" t="s">
        <v>1009</v>
      </c>
      <c r="BM439" s="1" t="s">
        <v>1112</v>
      </c>
    </row>
    <row r="440" spans="4:81" ht="15.75">
      <c r="D440" s="5" t="s">
        <v>1052</v>
      </c>
      <c r="E440" s="3" t="s">
        <v>835</v>
      </c>
      <c r="F440" s="3" t="s">
        <v>1030</v>
      </c>
      <c r="G440" s="3" t="s">
        <v>997</v>
      </c>
      <c r="H440" s="3" t="s">
        <v>1020</v>
      </c>
      <c r="I440" s="3" t="s">
        <v>1021</v>
      </c>
      <c r="J440" s="3" t="s">
        <v>1019</v>
      </c>
      <c r="K440" s="3" t="s">
        <v>1027</v>
      </c>
      <c r="L440" s="3" t="s">
        <v>1028</v>
      </c>
      <c r="M440" s="3" t="s">
        <v>1025</v>
      </c>
      <c r="N440" s="3" t="s">
        <v>1026</v>
      </c>
      <c r="O440" s="3" t="s">
        <v>102</v>
      </c>
      <c r="P440" s="3" t="s">
        <v>699</v>
      </c>
      <c r="T440" s="3" t="s">
        <v>840</v>
      </c>
      <c r="U440" s="3" t="s">
        <v>706</v>
      </c>
      <c r="V440" s="1" t="s">
        <v>695</v>
      </c>
      <c r="X440" s="3" t="s">
        <v>1011</v>
      </c>
      <c r="Y440" s="3" t="s">
        <v>1036</v>
      </c>
      <c r="Z440" s="3" t="s">
        <v>992</v>
      </c>
      <c r="AA440" s="3" t="s">
        <v>1029</v>
      </c>
      <c r="AC440" s="24" t="s">
        <v>1011</v>
      </c>
      <c r="AD440" s="24" t="s">
        <v>1036</v>
      </c>
      <c r="AE440" s="24" t="s">
        <v>992</v>
      </c>
      <c r="AF440" s="24" t="s">
        <v>996</v>
      </c>
      <c r="AH440" s="3" t="s">
        <v>1003</v>
      </c>
      <c r="AI440" s="3" t="s">
        <v>991</v>
      </c>
      <c r="AJ440" s="3" t="s">
        <v>1053</v>
      </c>
      <c r="AK440" s="3" t="s">
        <v>1022</v>
      </c>
      <c r="AL440" s="3" t="s">
        <v>1023</v>
      </c>
      <c r="AM440" s="3" t="s">
        <v>1024</v>
      </c>
      <c r="AN440" s="3" t="s">
        <v>1061</v>
      </c>
      <c r="AO440" s="3" t="s">
        <v>1031</v>
      </c>
      <c r="AP440" s="3" t="s">
        <v>1032</v>
      </c>
      <c r="AQ440" s="3" t="s">
        <v>1033</v>
      </c>
      <c r="AT440" s="3" t="s">
        <v>1002</v>
      </c>
      <c r="AU440" s="3" t="s">
        <v>1004</v>
      </c>
      <c r="AW440" s="3" t="s">
        <v>695</v>
      </c>
      <c r="AX440" s="3" t="s">
        <v>840</v>
      </c>
      <c r="AY440" s="3" t="s">
        <v>1035</v>
      </c>
      <c r="AZ440" s="3" t="s">
        <v>1007</v>
      </c>
      <c r="BA440" s="3" t="s">
        <v>1036</v>
      </c>
      <c r="BC440" s="3" t="s">
        <v>1037</v>
      </c>
      <c r="BD440" s="3" t="s">
        <v>996</v>
      </c>
      <c r="BF440" s="3" t="s">
        <v>706</v>
      </c>
      <c r="BG440" s="1" t="s">
        <v>695</v>
      </c>
      <c r="BH440" s="3" t="s">
        <v>699</v>
      </c>
      <c r="BI440" s="3" t="s">
        <v>1010</v>
      </c>
      <c r="BJ440" s="3" t="s">
        <v>1011</v>
      </c>
      <c r="BK440" s="3" t="s">
        <v>1053</v>
      </c>
      <c r="BL440" s="1" t="s">
        <v>1117</v>
      </c>
      <c r="BM440" s="3" t="s">
        <v>1604</v>
      </c>
      <c r="BN440" s="3" t="s">
        <v>1114</v>
      </c>
      <c r="BO440" s="14" t="s">
        <v>1115</v>
      </c>
      <c r="BP440" s="14" t="s">
        <v>1600</v>
      </c>
      <c r="BQ440" s="14" t="s">
        <v>644</v>
      </c>
      <c r="BR440" s="14" t="s">
        <v>102</v>
      </c>
      <c r="BS440" s="14" t="s">
        <v>1540</v>
      </c>
      <c r="BT440" s="14" t="s">
        <v>646</v>
      </c>
      <c r="BU440" s="14" t="s">
        <v>1597</v>
      </c>
      <c r="BV440" s="14" t="s">
        <v>369</v>
      </c>
      <c r="BW440" s="1" t="s">
        <v>88</v>
      </c>
      <c r="BX440" s="1" t="s">
        <v>306</v>
      </c>
      <c r="BY440" s="1" t="s">
        <v>1508</v>
      </c>
      <c r="BZ440" s="1" t="s">
        <v>387</v>
      </c>
      <c r="CA440" s="3" t="s">
        <v>397</v>
      </c>
      <c r="CB440" s="3" t="s">
        <v>404</v>
      </c>
      <c r="CC440" s="3" t="s">
        <v>544</v>
      </c>
    </row>
    <row r="441" spans="4:81" ht="15.75">
      <c r="D441" s="4">
        <v>1</v>
      </c>
      <c r="E441" s="31">
        <f aca="true" t="shared" si="49" ref="E441:P441">E438</f>
        <v>16000</v>
      </c>
      <c r="F441" s="31">
        <f t="shared" si="49"/>
        <v>13.44948934967573</v>
      </c>
      <c r="G441" s="31">
        <f t="shared" si="49"/>
        <v>1084</v>
      </c>
      <c r="H441" s="31">
        <f t="shared" si="49"/>
        <v>4.3685</v>
      </c>
      <c r="I441" s="31">
        <f t="shared" si="49"/>
        <v>0.8</v>
      </c>
      <c r="J441" s="31">
        <f t="shared" si="49"/>
        <v>11.3</v>
      </c>
      <c r="K441" s="31">
        <f t="shared" si="49"/>
        <v>18.774</v>
      </c>
      <c r="L441" s="31">
        <f t="shared" si="49"/>
        <v>0.6</v>
      </c>
      <c r="M441" s="31">
        <f t="shared" si="49"/>
        <v>10.1</v>
      </c>
      <c r="N441" s="31">
        <f t="shared" si="49"/>
        <v>0.75</v>
      </c>
      <c r="O441" s="31">
        <f t="shared" si="49"/>
        <v>0.16442722297719176</v>
      </c>
      <c r="P441" s="31">
        <f t="shared" si="49"/>
        <v>16.336199999999998</v>
      </c>
      <c r="T441" s="31">
        <f>T438</f>
        <v>0.994</v>
      </c>
      <c r="U441" s="31">
        <f>U438</f>
        <v>1.3859620991253643</v>
      </c>
      <c r="V441" s="31">
        <f>V438</f>
        <v>0.02</v>
      </c>
      <c r="X441" s="31">
        <f>X438</f>
        <v>241.08115598419005</v>
      </c>
      <c r="Y441" s="31">
        <f>AD442</f>
        <v>161.66350085147883</v>
      </c>
      <c r="Z441" s="31">
        <f>Z438</f>
        <v>965.6245714587776</v>
      </c>
      <c r="AA441" s="31">
        <f>AF442</f>
        <v>774.9653346431078</v>
      </c>
      <c r="AC441" s="31">
        <f>BJ441</f>
        <v>223.10816299994826</v>
      </c>
      <c r="AD441" s="31">
        <f>BA441</f>
        <v>183.3631162014305</v>
      </c>
      <c r="AE441" s="31">
        <f>BK441+273</f>
        <v>917.7603905720559</v>
      </c>
      <c r="AF441" s="31">
        <f>BD441</f>
        <v>838.8433709958416</v>
      </c>
      <c r="AH441" s="31">
        <f>Z441-AA441</f>
        <v>190.65923681566983</v>
      </c>
      <c r="AI441" s="31">
        <f>(Z441+AA441)/2</f>
        <v>870.2949530509427</v>
      </c>
      <c r="AJ441" s="31">
        <f>Z441-273</f>
        <v>692.6245714587776</v>
      </c>
      <c r="AK441" s="31">
        <f>E441*P441/(3600*J441)*(AJ441+273)/273</f>
        <v>22.726666629589836</v>
      </c>
      <c r="AL441" s="31">
        <f>1.6256-0.045133*(Z441-273)^0.5+0.4512*O441+0.093678*(Z441-273)^0.5*O441+0.00045725*(Z441-273)+1.5688*O441^2-0.12748*(Z441-273)^0.5*O441^1.2</f>
        <v>0.8920179263488146</v>
      </c>
      <c r="AM441" s="31">
        <f>H441*AL441*AK441^I441</f>
        <v>47.417048265463144</v>
      </c>
      <c r="AN441" s="31">
        <f>AA441-273</f>
        <v>501.9653346431078</v>
      </c>
      <c r="AO441" s="31">
        <f>E441*F441/(3600*M441)*(AN441+273)/273</f>
        <v>16.800473917157873</v>
      </c>
      <c r="AP441" s="31">
        <f>2.2357-0.72908*(AA441-173)^0.1-0.0082964*(AA441-173)^0.2</f>
        <v>0.823145731297969</v>
      </c>
      <c r="AQ441" s="31">
        <f>K441*AP441*AO441^L441</f>
        <v>83.989783833722</v>
      </c>
      <c r="AT441" s="31">
        <f>N441/(1/AM441+1/AQ441)</f>
        <v>22.73025441426482</v>
      </c>
      <c r="AU441" s="31">
        <f>AT441*G441*AH441/E441</f>
        <v>293.6104079891699</v>
      </c>
      <c r="AW441" s="31">
        <f>V441</f>
        <v>0.02</v>
      </c>
      <c r="AX441" s="31">
        <f>T441</f>
        <v>0.994</v>
      </c>
      <c r="AY441" s="31">
        <f>Y441</f>
        <v>161.66350085147883</v>
      </c>
      <c r="AZ441" s="31">
        <f>AU441*AX441</f>
        <v>291.8487455412349</v>
      </c>
      <c r="BA441" s="31">
        <f>AY441+AZ441/F441</f>
        <v>183.3631162014305</v>
      </c>
      <c r="BC441" s="31">
        <f>3.2584*BA441-0.00087946*BA441^2-0.56112*BA441*AW441</f>
        <v>565.8433709958416</v>
      </c>
      <c r="BD441" s="31">
        <f>BC441+273</f>
        <v>838.8433709958416</v>
      </c>
      <c r="BF441" s="31">
        <f aca="true" t="shared" si="50" ref="BF441:BG445">U441</f>
        <v>1.3859620991253643</v>
      </c>
      <c r="BG441" s="31">
        <f t="shared" si="50"/>
        <v>0.02</v>
      </c>
      <c r="BH441" s="31">
        <f>P441</f>
        <v>16.336199999999998</v>
      </c>
      <c r="BI441" s="31">
        <f>X441</f>
        <v>241.08115598419005</v>
      </c>
      <c r="BJ441" s="31">
        <f>BI441-AU441/BH441</f>
        <v>223.10816299994826</v>
      </c>
      <c r="BK441" s="31">
        <f>CC441</f>
        <v>644.7603905720559</v>
      </c>
      <c r="BQ441" s="31">
        <f>BQ438</f>
        <v>0.7157391567843946</v>
      </c>
      <c r="BR441" s="31">
        <f>BR438</f>
        <v>0.16442722297719176</v>
      </c>
      <c r="BS441" s="31">
        <f>BS438</f>
        <v>0.06924498965487691</v>
      </c>
      <c r="BT441" s="31">
        <f>BT438</f>
        <v>0.052845918704647166</v>
      </c>
      <c r="BU441" s="31">
        <f>BU438</f>
        <v>0</v>
      </c>
      <c r="BV441" s="31">
        <f>BJ441</f>
        <v>223.10816299994826</v>
      </c>
      <c r="BW441" s="31">
        <f>(0.309701-0.00000555238*(CC441+100)^1.1+0.0000000160444*(CC441+100)^2.2-0.00000000000568436*(CC441+100)^3.3+0.000000000000000856875*(CC441+100)^4.4-0.0000000000000000000482474*(CC441+100)^5.5)*CC441</f>
        <v>207.2444728741006</v>
      </c>
      <c r="BX441" s="31">
        <f>(0.356179-0.0000326182*(CC441+100)^0.8+0.00000129519*(CC441+100)^1.6-0.00000000148934*(CC441+100)^2.4-0.000000000000594678*(CC441+100)^3.2+0.00000000000000129158*(CC441+100)^4)*CC441</f>
        <v>250.51767810956522</v>
      </c>
      <c r="BY441" s="31">
        <f>(0.34584+0.0008688*(CC441+100)^0.82-0.00000109945*(CC441+100)^1.64+0.00000000054341*(CC441+100)^2.46)*CC441</f>
        <v>317.5637573801615</v>
      </c>
      <c r="BZ441" s="31">
        <f>(0.317715-0.000574557*(CC441+100)^0.7+0.0000164618*(CC441+100)^1.4-0.000000119525*(CC441+100)^2.1+0.000000000385185*(CC441+100)^2.8-0.000000000000467365*(CC441+100)^3.5)*CC441</f>
        <v>219.384085056897</v>
      </c>
      <c r="CA441" s="31">
        <f>0.10364*CC441^1.12+0.26993*IF(CC441&lt;=1300,0,(CC441-1300)^0.9)</f>
        <v>145.2290698947433</v>
      </c>
      <c r="CB441" s="31">
        <f>BQ441*BW441+BR441*BX441+BS441*BY441+BT441*BZ441+0.001*BU441*CA441</f>
        <v>223.10816299994823</v>
      </c>
      <c r="CC441" s="31">
        <f>CC441+2.5*(BV441-CB441)</f>
        <v>644.7603905720559</v>
      </c>
    </row>
    <row r="442" spans="4:81" ht="15.75">
      <c r="D442" s="4">
        <v>2</v>
      </c>
      <c r="E442" s="31">
        <f aca="true" t="shared" si="51" ref="E442:P445">E441</f>
        <v>16000</v>
      </c>
      <c r="F442" s="31">
        <f t="shared" si="51"/>
        <v>13.44948934967573</v>
      </c>
      <c r="G442" s="31">
        <f t="shared" si="51"/>
        <v>1084</v>
      </c>
      <c r="H442" s="31">
        <f t="shared" si="51"/>
        <v>4.3685</v>
      </c>
      <c r="I442" s="31">
        <f t="shared" si="51"/>
        <v>0.8</v>
      </c>
      <c r="J442" s="31">
        <f t="shared" si="51"/>
        <v>11.3</v>
      </c>
      <c r="K442" s="31">
        <f t="shared" si="51"/>
        <v>18.774</v>
      </c>
      <c r="L442" s="31">
        <f t="shared" si="51"/>
        <v>0.6</v>
      </c>
      <c r="M442" s="31">
        <f t="shared" si="51"/>
        <v>10.1</v>
      </c>
      <c r="N442" s="31">
        <f t="shared" si="51"/>
        <v>0.75</v>
      </c>
      <c r="O442" s="31">
        <f t="shared" si="51"/>
        <v>0.16442722297719176</v>
      </c>
      <c r="P442" s="31">
        <f t="shared" si="51"/>
        <v>16.336199999999998</v>
      </c>
      <c r="T442" s="31">
        <f aca="true" t="shared" si="52" ref="T442:V445">T441</f>
        <v>0.994</v>
      </c>
      <c r="U442" s="31">
        <f t="shared" si="52"/>
        <v>1.3859620991253643</v>
      </c>
      <c r="V442" s="31">
        <f t="shared" si="52"/>
        <v>0.02</v>
      </c>
      <c r="X442" s="31">
        <f>AC441</f>
        <v>223.10816299994826</v>
      </c>
      <c r="Y442" s="31">
        <f>AD443</f>
        <v>137.97708613066771</v>
      </c>
      <c r="Z442" s="31">
        <f>AE441</f>
        <v>917.7603905720559</v>
      </c>
      <c r="AA442" s="31">
        <f>AF443</f>
        <v>704.2932286005188</v>
      </c>
      <c r="AC442" s="31">
        <f>BJ442</f>
        <v>203.4895771986139</v>
      </c>
      <c r="AD442" s="31">
        <f>BA442</f>
        <v>161.66350085147883</v>
      </c>
      <c r="AE442" s="31">
        <f>BK442+273</f>
        <v>864.9096381401625</v>
      </c>
      <c r="AF442" s="31">
        <f>BD442</f>
        <v>774.9653346431078</v>
      </c>
      <c r="AH442" s="31">
        <f>Z442-AA442</f>
        <v>213.46716197153717</v>
      </c>
      <c r="AI442" s="31">
        <f>(Z442+AA442)/2</f>
        <v>811.0268095862873</v>
      </c>
      <c r="AJ442" s="31">
        <f>Z442-273</f>
        <v>644.7603905720559</v>
      </c>
      <c r="AK442" s="31">
        <f>E442*P442/(3600*J442)*(AJ442+273)/273</f>
        <v>21.600148814423257</v>
      </c>
      <c r="AL442" s="31">
        <f>1.6256-0.045133*(Z442-273)^0.5+0.4512*O442+0.093678*(Z442-273)^0.5*O442+0.00045725*(Z442-273)+1.5688*O442^2-0.12748*(Z442-273)^0.5*O442^1.2</f>
        <v>0.9111729889296184</v>
      </c>
      <c r="AM442" s="31">
        <f>H442*AL442*AK442^I442</f>
        <v>46.50488465596506</v>
      </c>
      <c r="AN442" s="31">
        <f>AA442-273</f>
        <v>431.2932286005188</v>
      </c>
      <c r="AO442" s="31">
        <f>E442*F442/(3600*M442)*(AN442+273)/273</f>
        <v>15.268373291281586</v>
      </c>
      <c r="AP442" s="31">
        <f>2.2357-0.72908*(AA442-173)^0.1-0.0082964*(AA442-173)^0.2</f>
        <v>0.8410425770720701</v>
      </c>
      <c r="AQ442" s="31">
        <f>K442*AP442*AO442^L442</f>
        <v>81.03086169201006</v>
      </c>
      <c r="AT442" s="31">
        <f>N442/(1/AM442+1/AQ442)</f>
        <v>22.16043923645538</v>
      </c>
      <c r="AU442" s="31">
        <f>AT442*G442*AH442/E442</f>
        <v>320.49314136775814</v>
      </c>
      <c r="AW442" s="31">
        <f>V442</f>
        <v>0.02</v>
      </c>
      <c r="AX442" s="31">
        <f>T442</f>
        <v>0.994</v>
      </c>
      <c r="AY442" s="31">
        <f>Y442</f>
        <v>137.97708613066771</v>
      </c>
      <c r="AZ442" s="31">
        <f>AU442*AX442</f>
        <v>318.57018251955157</v>
      </c>
      <c r="BA442" s="31">
        <f>AY442+AZ442/F442</f>
        <v>161.66350085147883</v>
      </c>
      <c r="BC442" s="31">
        <f>3.2584*BA442-0.00087946*BA442^2-0.56112*BA442*AW442</f>
        <v>501.9653346431077</v>
      </c>
      <c r="BD442" s="31">
        <f>BC442+273</f>
        <v>774.9653346431078</v>
      </c>
      <c r="BF442" s="31">
        <f t="shared" si="50"/>
        <v>1.3859620991253643</v>
      </c>
      <c r="BG442" s="31">
        <f t="shared" si="50"/>
        <v>0.02</v>
      </c>
      <c r="BH442" s="31">
        <f>P442</f>
        <v>16.336199999999998</v>
      </c>
      <c r="BI442" s="31">
        <f>X442</f>
        <v>223.10816299994826</v>
      </c>
      <c r="BJ442" s="31">
        <f>BI442-AU442/BH442</f>
        <v>203.4895771986139</v>
      </c>
      <c r="BK442" s="31">
        <f>CC442</f>
        <v>591.9096381401625</v>
      </c>
      <c r="BQ442" s="31">
        <f aca="true" t="shared" si="53" ref="BQ442:BU445">BQ441</f>
        <v>0.7157391567843946</v>
      </c>
      <c r="BR442" s="31">
        <f t="shared" si="53"/>
        <v>0.16442722297719176</v>
      </c>
      <c r="BS442" s="31">
        <f t="shared" si="53"/>
        <v>0.06924498965487691</v>
      </c>
      <c r="BT442" s="31">
        <f t="shared" si="53"/>
        <v>0.052845918704647166</v>
      </c>
      <c r="BU442" s="31">
        <f t="shared" si="53"/>
        <v>0</v>
      </c>
      <c r="BV442" s="31">
        <f>BJ442</f>
        <v>203.4895771986139</v>
      </c>
      <c r="BW442" s="31">
        <f>(0.309701-0.00000555238*(CC442+100)^1.1+0.0000000160444*(CC442+100)^2.2-0.00000000000568436*(CC442+100)^3.3+0.000000000000000856875*(CC442+100)^4.4-0.0000000000000000000482474*(CC442+100)^5.5)*CC442</f>
        <v>189.30056292089353</v>
      </c>
      <c r="BX442" s="31">
        <f>(0.356179-0.0000326182*(CC442+100)^0.8+0.00000129519*(CC442+100)^1.6-0.00000000148934*(CC442+100)^2.4-0.000000000000594678*(CC442+100)^3.2+0.00000000000000129158*(CC442+100)^4)*CC442</f>
        <v>228.01809013269147</v>
      </c>
      <c r="BY442" s="31">
        <f>(0.34584+0.0008688*(CC442+100)^0.82-0.00000109945*(CC442+100)^1.64+0.00000000054341*(CC442+100)^2.46)*CC442</f>
        <v>287.88827486804473</v>
      </c>
      <c r="BZ442" s="31">
        <f>(0.317715-0.000574557*(CC442+100)^0.7+0.0000164618*(CC442+100)^1.4-0.000000119525*(CC442+100)^2.1+0.000000000385185*(CC442+100)^2.8-0.000000000000467365*(CC442+100)^3.5)*CC442</f>
        <v>200.06369857645797</v>
      </c>
      <c r="CA442" s="31">
        <f>0.10364*CC442^1.12+0.26993*IF(CC442&lt;=1300,0,(CC442-1300)^0.9)</f>
        <v>131.9633905582211</v>
      </c>
      <c r="CB442" s="31">
        <f>BQ442*BW442+BR442*BX442+BS442*BY442+BT442*BZ442+0.001*BU442*CA442</f>
        <v>203.4895771986137</v>
      </c>
      <c r="CC442" s="31">
        <f>CC442+2.5*(BV442-CB442)</f>
        <v>591.9096381401625</v>
      </c>
    </row>
    <row r="443" spans="4:81" ht="15.75">
      <c r="D443" s="4">
        <v>3</v>
      </c>
      <c r="E443" s="31">
        <f t="shared" si="51"/>
        <v>16000</v>
      </c>
      <c r="F443" s="31">
        <f t="shared" si="51"/>
        <v>13.44948934967573</v>
      </c>
      <c r="G443" s="31">
        <f t="shared" si="51"/>
        <v>1084</v>
      </c>
      <c r="H443" s="31">
        <f t="shared" si="51"/>
        <v>4.3685</v>
      </c>
      <c r="I443" s="31">
        <f t="shared" si="51"/>
        <v>0.8</v>
      </c>
      <c r="J443" s="31">
        <f t="shared" si="51"/>
        <v>11.3</v>
      </c>
      <c r="K443" s="31">
        <f t="shared" si="51"/>
        <v>18.774</v>
      </c>
      <c r="L443" s="31">
        <f t="shared" si="51"/>
        <v>0.6</v>
      </c>
      <c r="M443" s="31">
        <f t="shared" si="51"/>
        <v>10.1</v>
      </c>
      <c r="N443" s="31">
        <f t="shared" si="51"/>
        <v>0.75</v>
      </c>
      <c r="O443" s="31">
        <f t="shared" si="51"/>
        <v>0.16442722297719176</v>
      </c>
      <c r="P443" s="31">
        <f t="shared" si="51"/>
        <v>16.336199999999998</v>
      </c>
      <c r="T443" s="31">
        <f t="shared" si="52"/>
        <v>0.994</v>
      </c>
      <c r="U443" s="31">
        <f t="shared" si="52"/>
        <v>1.3859620991253643</v>
      </c>
      <c r="V443" s="31">
        <f t="shared" si="52"/>
        <v>0.02</v>
      </c>
      <c r="X443" s="31">
        <f>AC442</f>
        <v>203.4895771986139</v>
      </c>
      <c r="Y443" s="31">
        <f>AD444</f>
        <v>112.3329433497729</v>
      </c>
      <c r="Z443" s="31">
        <f>AE442</f>
        <v>864.9096381401625</v>
      </c>
      <c r="AA443" s="31">
        <f>AF444</f>
        <v>626.6673841379104</v>
      </c>
      <c r="AC443" s="31">
        <f>BJ443</f>
        <v>182.2494772772601</v>
      </c>
      <c r="AD443" s="31">
        <f>BA443</f>
        <v>137.97708613066771</v>
      </c>
      <c r="AE443" s="31">
        <f>BK443+273</f>
        <v>806.9334073343217</v>
      </c>
      <c r="AF443" s="31">
        <f>BD443</f>
        <v>704.2932286005188</v>
      </c>
      <c r="AH443" s="31">
        <f>Z443-AA443</f>
        <v>238.24225400225214</v>
      </c>
      <c r="AI443" s="31">
        <f>(Z443+AA443)/2</f>
        <v>745.7885111390365</v>
      </c>
      <c r="AJ443" s="31">
        <f>Z443-273</f>
        <v>591.9096381401625</v>
      </c>
      <c r="AK443" s="31">
        <f>E443*P443/(3600*J443)*(AJ443+273)/273</f>
        <v>20.356268462633864</v>
      </c>
      <c r="AL443" s="31">
        <f>1.6256-0.045133*(Z443-273)^0.5+0.4512*O443+0.093678*(Z443-273)^0.5*O443+0.00045725*(Z443-273)+1.5688*O443^2-0.12748*(Z443-273)^0.5*O443^1.2</f>
        <v>0.9341360660458964</v>
      </c>
      <c r="AM443" s="31">
        <f>H443*AL443*AK443^I443</f>
        <v>45.4674937700027</v>
      </c>
      <c r="AN443" s="31">
        <f>AA443-273</f>
        <v>353.6673841379104</v>
      </c>
      <c r="AO443" s="31">
        <f>E443*F443/(3600*M443)*(AN443+273)/273</f>
        <v>13.585522566362386</v>
      </c>
      <c r="AP443" s="31">
        <f>2.2357-0.72908*(AA443-173)^0.1-0.0082964*(AA443-173)^0.2</f>
        <v>0.8633470463953241</v>
      </c>
      <c r="AQ443" s="31">
        <f>K443*AP443*AO443^L443</f>
        <v>77.55111209065359</v>
      </c>
      <c r="AT443" s="31">
        <f>N443/(1/AM443+1/AQ443)</f>
        <v>21.49708176968298</v>
      </c>
      <c r="AU443" s="31">
        <f>AT443*G443*AH443/E443</f>
        <v>346.9825203352197</v>
      </c>
      <c r="AW443" s="31">
        <f>V443</f>
        <v>0.02</v>
      </c>
      <c r="AX443" s="31">
        <f>T443</f>
        <v>0.994</v>
      </c>
      <c r="AY443" s="31">
        <f>Y443</f>
        <v>112.3329433497729</v>
      </c>
      <c r="AZ443" s="31">
        <f>AU443*AX443</f>
        <v>344.9006252132084</v>
      </c>
      <c r="BA443" s="31">
        <f>AY443+AZ443/F443</f>
        <v>137.97708613066771</v>
      </c>
      <c r="BC443" s="31">
        <f>3.2584*BA443-0.00087946*BA443^2-0.56112*BA443*AW443</f>
        <v>431.2932286005188</v>
      </c>
      <c r="BD443" s="31">
        <f>BC443+273</f>
        <v>704.2932286005188</v>
      </c>
      <c r="BF443" s="31">
        <f t="shared" si="50"/>
        <v>1.3859620991253643</v>
      </c>
      <c r="BG443" s="31">
        <f t="shared" si="50"/>
        <v>0.02</v>
      </c>
      <c r="BH443" s="31">
        <f>P443</f>
        <v>16.336199999999998</v>
      </c>
      <c r="BI443" s="31">
        <f>X443</f>
        <v>203.4895771986139</v>
      </c>
      <c r="BJ443" s="31">
        <f>BI443-AU443/BH443</f>
        <v>182.2494772772601</v>
      </c>
      <c r="BK443" s="31">
        <f>CC443</f>
        <v>533.9334073343217</v>
      </c>
      <c r="BQ443" s="31">
        <f t="shared" si="53"/>
        <v>0.7157391567843946</v>
      </c>
      <c r="BR443" s="31">
        <f t="shared" si="53"/>
        <v>0.16442722297719176</v>
      </c>
      <c r="BS443" s="31">
        <f t="shared" si="53"/>
        <v>0.06924498965487691</v>
      </c>
      <c r="BT443" s="31">
        <f t="shared" si="53"/>
        <v>0.052845918704647166</v>
      </c>
      <c r="BU443" s="31">
        <f t="shared" si="53"/>
        <v>0</v>
      </c>
      <c r="BV443" s="31">
        <f>BJ443</f>
        <v>182.2494772772601</v>
      </c>
      <c r="BW443" s="31">
        <f>(0.309701-0.00000555238*(CC443+100)^1.1+0.0000000160444*(CC443+100)^2.2-0.00000000000568436*(CC443+100)^3.3+0.000000000000000856875*(CC443+100)^4.4-0.0000000000000000000482474*(CC443+100)^5.5)*CC443</f>
        <v>169.84098386026764</v>
      </c>
      <c r="BX443" s="31">
        <f>(0.356179-0.0000326182*(CC443+100)^0.8+0.00000129519*(CC443+100)^1.6-0.00000000148934*(CC443+100)^2.4-0.000000000000594678*(CC443+100)^3.2+0.00000000000000129158*(CC443+100)^4)*CC443</f>
        <v>203.77675975790402</v>
      </c>
      <c r="BY443" s="31">
        <f>(0.34584+0.0008688*(CC443+100)^0.82-0.00000109945*(CC443+100)^1.64+0.00000000054341*(CC443+100)^2.46)*CC443</f>
        <v>255.86460795536095</v>
      </c>
      <c r="BZ443" s="31">
        <f>(0.317715-0.000574557*(CC443+100)^0.7+0.0000164618*(CC443+100)^1.4-0.000000119525*(CC443+100)^2.1+0.000000000385185*(CC443+100)^2.8-0.000000000000467365*(CC443+100)^3.5)*CC443</f>
        <v>179.0837606471033</v>
      </c>
      <c r="CA443" s="31">
        <f>0.10364*CC443^1.12+0.26993*IF(CC443&lt;=1300,0,(CC443-1300)^0.9)</f>
        <v>117.57444855057464</v>
      </c>
      <c r="CB443" s="31">
        <f>BQ443*BW443+BR443*BX443+BS443*BY443+BT443*BZ443+0.001*BU443*CA443</f>
        <v>182.24947727725987</v>
      </c>
      <c r="CC443" s="31">
        <f>CC443+2.5*(BV443-CB443)</f>
        <v>533.9334073343217</v>
      </c>
    </row>
    <row r="444" spans="4:81" ht="15.75">
      <c r="D444" s="4">
        <v>4</v>
      </c>
      <c r="E444" s="31">
        <f t="shared" si="51"/>
        <v>16000</v>
      </c>
      <c r="F444" s="31">
        <f t="shared" si="51"/>
        <v>13.44948934967573</v>
      </c>
      <c r="G444" s="31">
        <f t="shared" si="51"/>
        <v>1084</v>
      </c>
      <c r="H444" s="31">
        <f t="shared" si="51"/>
        <v>4.3685</v>
      </c>
      <c r="I444" s="31">
        <f t="shared" si="51"/>
        <v>0.8</v>
      </c>
      <c r="J444" s="31">
        <f t="shared" si="51"/>
        <v>11.3</v>
      </c>
      <c r="K444" s="31">
        <f t="shared" si="51"/>
        <v>18.774</v>
      </c>
      <c r="L444" s="31">
        <f t="shared" si="51"/>
        <v>0.6</v>
      </c>
      <c r="M444" s="31">
        <f t="shared" si="51"/>
        <v>10.1</v>
      </c>
      <c r="N444" s="31">
        <f t="shared" si="51"/>
        <v>0.75</v>
      </c>
      <c r="O444" s="31">
        <f t="shared" si="51"/>
        <v>0.16442722297719176</v>
      </c>
      <c r="P444" s="31">
        <f t="shared" si="51"/>
        <v>16.336199999999998</v>
      </c>
      <c r="T444" s="31">
        <f t="shared" si="52"/>
        <v>0.994</v>
      </c>
      <c r="U444" s="31">
        <f t="shared" si="52"/>
        <v>1.3859620991253643</v>
      </c>
      <c r="V444" s="31">
        <f t="shared" si="52"/>
        <v>0.02</v>
      </c>
      <c r="X444" s="31">
        <f>AC443</f>
        <v>182.2494772772601</v>
      </c>
      <c r="Y444" s="31">
        <f>AD445</f>
        <v>84.87125845151562</v>
      </c>
      <c r="Z444" s="31">
        <f>AE443</f>
        <v>806.9334073343217</v>
      </c>
      <c r="AA444" s="31">
        <f>AF445</f>
        <v>542.2571841682416</v>
      </c>
      <c r="AC444" s="31">
        <f>BJ444</f>
        <v>159.50397409427697</v>
      </c>
      <c r="AD444" s="31">
        <f>BA444</f>
        <v>112.3329433497729</v>
      </c>
      <c r="AE444" s="31">
        <f>BK444+273</f>
        <v>743.9206647770591</v>
      </c>
      <c r="AF444" s="31">
        <f>BD444</f>
        <v>626.6673841379104</v>
      </c>
      <c r="AH444" s="31">
        <f>Z444-AA444</f>
        <v>264.67622316608015</v>
      </c>
      <c r="AI444" s="31">
        <f>(Z444+AA444)/2</f>
        <v>674.5952957512816</v>
      </c>
      <c r="AJ444" s="31">
        <f>Z444-273</f>
        <v>533.9334073343217</v>
      </c>
      <c r="AK444" s="31">
        <f>E444*P444/(3600*J444)*(AJ444+273)/273</f>
        <v>18.99175630241203</v>
      </c>
      <c r="AL444" s="31">
        <f>1.6256-0.045133*(Z444-273)^0.5+0.4512*O444+0.093678*(Z444-273)^0.5*O444+0.00045725*(Z444-273)+1.5688*O444^2-0.12748*(Z444-273)^0.5*O444^1.2</f>
        <v>0.9618166248690205</v>
      </c>
      <c r="AM444" s="31">
        <f>H444*AL444*AK444^I444</f>
        <v>44.287046958613786</v>
      </c>
      <c r="AN444" s="31">
        <f>AA444-273</f>
        <v>269.25718416824157</v>
      </c>
      <c r="AO444" s="31">
        <f>E444*F444/(3600*M444)*(AN444+273)/273</f>
        <v>11.755593794663726</v>
      </c>
      <c r="AP444" s="31">
        <f>2.2357-0.72908*(AA444-173)^0.1-0.0082964*(AA444-173)^0.2</f>
        <v>0.8918738636340331</v>
      </c>
      <c r="AQ444" s="31">
        <f>K444*AP444*AO444^L444</f>
        <v>73.45256957374912</v>
      </c>
      <c r="AT444" s="31">
        <f>N444/(1/AM444+1/AQ444)</f>
        <v>20.721555924101345</v>
      </c>
      <c r="AU444" s="31">
        <f>AT444*G444*AH444/E444</f>
        <v>371.57508909784934</v>
      </c>
      <c r="AW444" s="31">
        <f>V444</f>
        <v>0.02</v>
      </c>
      <c r="AX444" s="31">
        <f>T444</f>
        <v>0.994</v>
      </c>
      <c r="AY444" s="31">
        <f>Y444</f>
        <v>84.87125845151562</v>
      </c>
      <c r="AZ444" s="31">
        <f>AU444*AX444</f>
        <v>369.34563856326224</v>
      </c>
      <c r="BA444" s="31">
        <f>AY444+AZ444/F444</f>
        <v>112.3329433497729</v>
      </c>
      <c r="BC444" s="31">
        <f>3.2584*BA444-0.00087946*BA444^2-0.56112*BA444*AW444</f>
        <v>353.66738413791035</v>
      </c>
      <c r="BD444" s="31">
        <f>BC444+273</f>
        <v>626.6673841379104</v>
      </c>
      <c r="BF444" s="31">
        <f t="shared" si="50"/>
        <v>1.3859620991253643</v>
      </c>
      <c r="BG444" s="31">
        <f t="shared" si="50"/>
        <v>0.02</v>
      </c>
      <c r="BH444" s="31">
        <f>P444</f>
        <v>16.336199999999998</v>
      </c>
      <c r="BI444" s="31">
        <f>X444</f>
        <v>182.2494772772601</v>
      </c>
      <c r="BJ444" s="31">
        <f>BI444-AU444/BH444</f>
        <v>159.50397409427697</v>
      </c>
      <c r="BK444" s="31">
        <f>CC444</f>
        <v>470.92066477705913</v>
      </c>
      <c r="BQ444" s="31">
        <f t="shared" si="53"/>
        <v>0.7157391567843946</v>
      </c>
      <c r="BR444" s="31">
        <f t="shared" si="53"/>
        <v>0.16442722297719176</v>
      </c>
      <c r="BS444" s="31">
        <f t="shared" si="53"/>
        <v>0.06924498965487691</v>
      </c>
      <c r="BT444" s="31">
        <f t="shared" si="53"/>
        <v>0.052845918704647166</v>
      </c>
      <c r="BU444" s="31">
        <f t="shared" si="53"/>
        <v>0</v>
      </c>
      <c r="BV444" s="31">
        <f>BJ444</f>
        <v>159.50397409427697</v>
      </c>
      <c r="BW444" s="31">
        <f>(0.309701-0.00000555238*(CC444+100)^1.1+0.0000000160444*(CC444+100)^2.2-0.00000000000568436*(CC444+100)^3.3+0.000000000000000856875*(CC444+100)^4.4-0.0000000000000000000482474*(CC444+100)^5.5)*CC444</f>
        <v>148.9587219205588</v>
      </c>
      <c r="BX444" s="31">
        <f>(0.356179-0.0000326182*(CC444+100)^0.8+0.00000129519*(CC444+100)^1.6-0.00000000148934*(CC444+100)^2.4-0.000000000000594678*(CC444+100)^3.2+0.00000000000000129158*(CC444+100)^4)*CC444</f>
        <v>177.9480334896279</v>
      </c>
      <c r="BY444" s="31">
        <f>(0.34584+0.0008688*(CC444+100)^0.82-0.00000109945*(CC444+100)^1.64+0.00000000054341*(CC444+100)^2.46)*CC444</f>
        <v>221.75167044209002</v>
      </c>
      <c r="BZ444" s="31">
        <f>(0.317715-0.000574557*(CC444+100)^0.7+0.0000164618*(CC444+100)^1.4-0.000000119525*(CC444+100)^2.1+0.000000000385185*(CC444+100)^2.8-0.000000000000467365*(CC444+100)^3.5)*CC444</f>
        <v>156.5625343888916</v>
      </c>
      <c r="CA444" s="31">
        <f>0.10364*CC444^1.12+0.26993*IF(CC444&lt;=1300,0,(CC444-1300)^0.9)</f>
        <v>102.1477682610857</v>
      </c>
      <c r="CB444" s="31">
        <f>BQ444*BW444+BR444*BX444+BS444*BY444+BT444*BZ444+0.001*BU444*CA444</f>
        <v>159.50397409427677</v>
      </c>
      <c r="CC444" s="31">
        <f>CC444+2.5*(BV444-CB444)</f>
        <v>470.92066477705913</v>
      </c>
    </row>
    <row r="445" spans="4:81" ht="15.75">
      <c r="D445" s="4">
        <v>5</v>
      </c>
      <c r="E445" s="31">
        <f t="shared" si="51"/>
        <v>16000</v>
      </c>
      <c r="F445" s="31">
        <f t="shared" si="51"/>
        <v>13.44948934967573</v>
      </c>
      <c r="G445" s="31">
        <f t="shared" si="51"/>
        <v>1084</v>
      </c>
      <c r="H445" s="31">
        <f t="shared" si="51"/>
        <v>4.3685</v>
      </c>
      <c r="I445" s="31">
        <f t="shared" si="51"/>
        <v>0.8</v>
      </c>
      <c r="J445" s="31">
        <f t="shared" si="51"/>
        <v>11.3</v>
      </c>
      <c r="K445" s="31">
        <f t="shared" si="51"/>
        <v>18.774</v>
      </c>
      <c r="L445" s="31">
        <f t="shared" si="51"/>
        <v>0.6</v>
      </c>
      <c r="M445" s="31">
        <f t="shared" si="51"/>
        <v>10.1</v>
      </c>
      <c r="N445" s="31">
        <f t="shared" si="51"/>
        <v>0.75</v>
      </c>
      <c r="O445" s="31">
        <f t="shared" si="51"/>
        <v>0.16442722297719176</v>
      </c>
      <c r="P445" s="31">
        <f t="shared" si="51"/>
        <v>16.336199999999998</v>
      </c>
      <c r="T445" s="31">
        <f t="shared" si="52"/>
        <v>0.994</v>
      </c>
      <c r="U445" s="31">
        <f t="shared" si="52"/>
        <v>1.3859620991253643</v>
      </c>
      <c r="V445" s="31">
        <f t="shared" si="52"/>
        <v>0.02</v>
      </c>
      <c r="X445" s="31">
        <f>AC444</f>
        <v>159.50397409427697</v>
      </c>
      <c r="Y445" s="31">
        <f>Y438</f>
        <v>56</v>
      </c>
      <c r="Z445" s="31">
        <f>AE444</f>
        <v>743.9206647770591</v>
      </c>
      <c r="AA445" s="31">
        <f>AA438</f>
        <v>453</v>
      </c>
      <c r="AC445" s="31">
        <f>BJ445</f>
        <v>135.59097300062044</v>
      </c>
      <c r="AD445" s="31">
        <f>BA445</f>
        <v>84.87125845151562</v>
      </c>
      <c r="AE445" s="31">
        <f>BK445+273</f>
        <v>676.5822992474277</v>
      </c>
      <c r="AF445" s="31">
        <f>BD445</f>
        <v>542.2571841682416</v>
      </c>
      <c r="AH445" s="31">
        <f>Z445-AA445</f>
        <v>290.9206647770591</v>
      </c>
      <c r="AI445" s="31">
        <f>(Z445+AA445)/2</f>
        <v>598.4603323885295</v>
      </c>
      <c r="AJ445" s="31">
        <f>Z445-273</f>
        <v>470.9206647770591</v>
      </c>
      <c r="AK445" s="31">
        <f>E445*P445/(3600*J445)*(AJ445+273)/273</f>
        <v>17.508706227006805</v>
      </c>
      <c r="AL445" s="31">
        <f>1.6256-0.045133*(Z445-273)^0.5+0.4512*O445+0.093678*(Z445-273)^0.5*O445+0.00045725*(Z445-273)+1.5688*O445^2-0.12748*(Z445-273)^0.5*O445^1.2</f>
        <v>0.9953568820076502</v>
      </c>
      <c r="AM445" s="31">
        <f>H445*AL445*AK445^I445</f>
        <v>42.94517811533738</v>
      </c>
      <c r="AN445" s="31">
        <f>AA445-273</f>
        <v>180</v>
      </c>
      <c r="AO445" s="31">
        <f>E445*F445/(3600*M445)*(AN445+273)/273</f>
        <v>9.82058724985087</v>
      </c>
      <c r="AP445" s="31">
        <f>2.2357-0.72908*(AA445-173)^0.1-0.0082964*(AA445-173)^0.2</f>
        <v>0.9292666897878644</v>
      </c>
      <c r="AQ445" s="31">
        <f>K445*AP445*AO445^L445</f>
        <v>68.70362597220866</v>
      </c>
      <c r="AT445" s="31">
        <f>N445/(1/AM445+1/AQ445)</f>
        <v>19.819890674103075</v>
      </c>
      <c r="AU445" s="31">
        <f>AT445*G445*AH445/E445</f>
        <v>390.6475684661919</v>
      </c>
      <c r="AW445" s="31">
        <f>V445</f>
        <v>0.02</v>
      </c>
      <c r="AX445" s="31">
        <f>T445</f>
        <v>0.994</v>
      </c>
      <c r="AY445" s="31">
        <f>Y445</f>
        <v>56</v>
      </c>
      <c r="AZ445" s="31">
        <f>AU445*AX445</f>
        <v>388.30368305539474</v>
      </c>
      <c r="BA445" s="31">
        <f>AY445+AZ445/F445</f>
        <v>84.87125845151562</v>
      </c>
      <c r="BC445" s="31">
        <f>3.2584*BA445-0.00087946*BA445^2-0.56112*BA445*AW445</f>
        <v>269.2571841682415</v>
      </c>
      <c r="BD445" s="31">
        <f>BC445+273</f>
        <v>542.2571841682416</v>
      </c>
      <c r="BF445" s="31">
        <f t="shared" si="50"/>
        <v>1.3859620991253643</v>
      </c>
      <c r="BG445" s="31">
        <f t="shared" si="50"/>
        <v>0.02</v>
      </c>
      <c r="BH445" s="31">
        <f>P445</f>
        <v>16.336199999999998</v>
      </c>
      <c r="BI445" s="31">
        <f>X445</f>
        <v>159.50397409427697</v>
      </c>
      <c r="BJ445" s="31">
        <f>BI445-AU445/BH445</f>
        <v>135.59097300062044</v>
      </c>
      <c r="BK445" s="31">
        <f>CC445</f>
        <v>403.5822992474278</v>
      </c>
      <c r="BQ445" s="31">
        <f t="shared" si="53"/>
        <v>0.7157391567843946</v>
      </c>
      <c r="BR445" s="31">
        <f t="shared" si="53"/>
        <v>0.16442722297719176</v>
      </c>
      <c r="BS445" s="31">
        <f t="shared" si="53"/>
        <v>0.06924498965487691</v>
      </c>
      <c r="BT445" s="31">
        <f t="shared" si="53"/>
        <v>0.052845918704647166</v>
      </c>
      <c r="BU445" s="31">
        <f t="shared" si="53"/>
        <v>0</v>
      </c>
      <c r="BV445" s="31">
        <f>BJ445</f>
        <v>135.59097300062044</v>
      </c>
      <c r="BW445" s="31">
        <f>(0.309701-0.00000555238*(CC445+100)^1.1+0.0000000160444*(CC445+100)^2.2-0.00000000000568436*(CC445+100)^3.3+0.000000000000000856875*(CC445+100)^4.4-0.0000000000000000000482474*(CC445+100)^5.5)*CC445</f>
        <v>126.9461787611444</v>
      </c>
      <c r="BX445" s="31">
        <f>(0.356179-0.0000326182*(CC445+100)^0.8+0.00000129519*(CC445+100)^1.6-0.00000000148934*(CC445+100)^2.4-0.000000000000594678*(CC445+100)^3.2+0.00000000000000129158*(CC445+100)^4)*CC445</f>
        <v>150.93322909729767</v>
      </c>
      <c r="BY445" s="31">
        <f>(0.34584+0.0008688*(CC445+100)^0.82-0.00000109945*(CC445+100)^1.64+0.00000000054341*(CC445+100)^2.46)*CC445</f>
        <v>186.183589191048</v>
      </c>
      <c r="BZ445" s="31">
        <f>(0.317715-0.000574557*(CC445+100)^0.7+0.0000164618*(CC445+100)^1.4-0.000000119525*(CC445+100)^2.1+0.000000000385185*(CC445+100)^2.8-0.000000000000467365*(CC445+100)^3.5)*CC445</f>
        <v>132.85433967882724</v>
      </c>
      <c r="CA445" s="31">
        <f>0.10364*CC445^1.12+0.26993*IF(CC445&lt;=1300,0,(CC445-1300)^0.9)</f>
        <v>85.93525455497038</v>
      </c>
      <c r="CB445" s="31">
        <f>BQ445*BW445+BR445*BX445+BS445*BY445+BT445*BZ445+0.001*BU445*CA445</f>
        <v>135.5909730006203</v>
      </c>
      <c r="CC445" s="31">
        <f>CC445+2.5*(BV445-CB445)</f>
        <v>403.5822992474278</v>
      </c>
    </row>
    <row r="446" spans="4:10" ht="15">
      <c r="D446" s="2" t="s">
        <v>1097</v>
      </c>
      <c r="E446" s="24" t="s">
        <v>1098</v>
      </c>
      <c r="F446" s="24"/>
      <c r="G446" s="24"/>
      <c r="H446" s="24"/>
      <c r="I446" s="24"/>
      <c r="J446" s="2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2012-10-01T09:04:08Z</dcterms:created>
  <dcterms:modified xsi:type="dcterms:W3CDTF">2012-11-23T05:55:36Z</dcterms:modified>
  <cp:category/>
  <cp:version/>
  <cp:contentType/>
  <cp:contentStatus/>
</cp:coreProperties>
</file>